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Override PartName="/xl/threadedComments/threadedComment7.xml" ContentType="application/vnd.ms-excel.threadedcomments+xml"/>
  <Override PartName="/xl/threadedComments/threadedComment8.xml" ContentType="application/vnd.ms-excel.threadedcomments+xml"/>
  <Override PartName="/xl/threadedComments/threadedComment9.xml" ContentType="application/vnd.ms-excel.threadedcomments+xml"/>
  <Override PartName="/xl/threadedComments/threadedComment10.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mrutyunjay.palai\Downloads\FW _Document_to_be_uploaded_from_back-end_on_Notice_Board\"/>
    </mc:Choice>
  </mc:AlternateContent>
  <bookViews>
    <workbookView xWindow="0" yWindow="0" windowWidth="20490" windowHeight="7620" tabRatio="906" firstSheet="1" activeTab="3"/>
  </bookViews>
  <sheets>
    <sheet name="Indexw" sheetId="1" state="hidden" r:id="rId1"/>
    <sheet name="Sheet" sheetId="148" r:id="rId2"/>
    <sheet name="Index" sheetId="89" r:id="rId3"/>
    <sheet name="S1" sheetId="88" r:id="rId4"/>
    <sheet name="S2" sheetId="87" r:id="rId5"/>
    <sheet name="S3" sheetId="86" r:id="rId6"/>
    <sheet name="F1" sheetId="2" r:id="rId7"/>
    <sheet name="Carrying Cost" sheetId="109" r:id="rId8"/>
    <sheet name="F2" sheetId="4" r:id="rId9"/>
    <sheet name="F3" sheetId="6" r:id="rId10"/>
    <sheet name="F4" sheetId="58" r:id="rId11"/>
    <sheet name="F5-1" sheetId="132" r:id="rId12"/>
    <sheet name="F5-2" sheetId="95" r:id="rId13"/>
    <sheet name="F5-3" sheetId="9" r:id="rId14"/>
    <sheet name="F5-4" sheetId="13" r:id="rId15"/>
    <sheet name="F5-6" sheetId="147" r:id="rId16"/>
    <sheet name="F5-7" sheetId="16" r:id="rId17"/>
    <sheet name="F5-8" sheetId="19" r:id="rId18"/>
    <sheet name="F5-9" sheetId="96" r:id="rId19"/>
    <sheet name="F6" sheetId="112" r:id="rId20"/>
    <sheet name="F7-1" sheetId="10" r:id="rId21"/>
    <sheet name="F7-2" sheetId="17" r:id="rId22"/>
    <sheet name="F7-3" sheetId="37" r:id="rId23"/>
    <sheet name="F7-4" sheetId="11" r:id="rId24"/>
    <sheet name="F8" sheetId="12" r:id="rId25"/>
    <sheet name="Interest" sheetId="103" r:id="rId26"/>
    <sheet name="Int Rate" sheetId="135" state="hidden" r:id="rId27"/>
    <sheet name="F9-1" sheetId="113" r:id="rId28"/>
    <sheet name="F9-2" sheetId="114" r:id="rId29"/>
    <sheet name="F9-3" sheetId="115" r:id="rId30"/>
    <sheet name="F10" sheetId="24" r:id="rId31"/>
    <sheet name="F11" sheetId="116" r:id="rId32"/>
    <sheet name="F12" sheetId="99" r:id="rId33"/>
    <sheet name="F13" sheetId="31" r:id="rId34"/>
    <sheet name="Sharing of Gains-Losses" sheetId="136" r:id="rId35"/>
    <sheet name="O&amp;M norms" sheetId="137" r:id="rId36"/>
    <sheet name="F14-1" sheetId="65" r:id="rId37"/>
    <sheet name="F14-2" sheetId="63" r:id="rId38"/>
    <sheet name="F14-3" sheetId="33" r:id="rId39"/>
    <sheet name="F14-4" sheetId="97" r:id="rId40"/>
    <sheet name="F15" sheetId="34" r:id="rId41"/>
    <sheet name="F16" sheetId="61" r:id="rId42"/>
    <sheet name="F17" sheetId="59" r:id="rId43"/>
    <sheet name="F18" sheetId="100" r:id="rId44"/>
    <sheet name="F19" sheetId="101" r:id="rId45"/>
    <sheet name="F20" sheetId="52" r:id="rId46"/>
    <sheet name="F21" sheetId="47" r:id="rId47"/>
    <sheet name="F22" sheetId="50" r:id="rId48"/>
    <sheet name="F23" sheetId="102" r:id="rId49"/>
    <sheet name="F24" sheetId="72" r:id="rId50"/>
    <sheet name="Incentive" sheetId="94" r:id="rId51"/>
    <sheet name="CPI &amp; WPI" sheetId="133" state="hidden" r:id="rId52"/>
    <sheet name="Allocation Statement" sheetId="134" state="hidden" r:id="rId53"/>
    <sheet name="P1" sheetId="117" r:id="rId54"/>
    <sheet name="P2A " sheetId="138" r:id="rId55"/>
    <sheet name="P2B" sheetId="139" r:id="rId56"/>
    <sheet name="P2C" sheetId="140" r:id="rId57"/>
    <sheet name="P2D" sheetId="141" r:id="rId58"/>
    <sheet name="P2E" sheetId="142" r:id="rId59"/>
    <sheet name="P2F " sheetId="143" r:id="rId60"/>
    <sheet name="P3" sheetId="122" r:id="rId61"/>
    <sheet name="P4" sheetId="123" r:id="rId62"/>
    <sheet name="P5" sheetId="124" r:id="rId63"/>
    <sheet name="P6" sheetId="125" r:id="rId64"/>
    <sheet name="P7" sheetId="127" r:id="rId65"/>
    <sheet name="P8" sheetId="144" r:id="rId66"/>
    <sheet name="P9" sheetId="129" r:id="rId67"/>
    <sheet name="P10" sheetId="145" r:id="rId68"/>
    <sheet name="P11" sheetId="146" r:id="rId69"/>
    <sheet name="P12" sheetId="82" r:id="rId70"/>
    <sheet name="Sheet2" sheetId="91" state="hidden" r:id="rId71"/>
    <sheet name="Sheet3" sheetId="92" state="hidden" r:id="rId72"/>
  </sheets>
  <externalReferences>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 r:id="rId162"/>
    <externalReference r:id="rId163"/>
    <externalReference r:id="rId164"/>
    <externalReference r:id="rId165"/>
    <externalReference r:id="rId166"/>
    <externalReference r:id="rId167"/>
    <externalReference r:id="rId168"/>
    <externalReference r:id="rId169"/>
    <externalReference r:id="rId170"/>
    <externalReference r:id="rId171"/>
    <externalReference r:id="rId172"/>
    <externalReference r:id="rId173"/>
    <externalReference r:id="rId174"/>
    <externalReference r:id="rId175"/>
    <externalReference r:id="rId176"/>
    <externalReference r:id="rId177"/>
    <externalReference r:id="rId178"/>
    <externalReference r:id="rId179"/>
    <externalReference r:id="rId180"/>
    <externalReference r:id="rId181"/>
    <externalReference r:id="rId182"/>
    <externalReference r:id="rId183"/>
    <externalReference r:id="rId184"/>
    <externalReference r:id="rId185"/>
    <externalReference r:id="rId186"/>
    <externalReference r:id="rId187"/>
    <externalReference r:id="rId188"/>
    <externalReference r:id="rId189"/>
    <externalReference r:id="rId190"/>
    <externalReference r:id="rId191"/>
    <externalReference r:id="rId192"/>
    <externalReference r:id="rId193"/>
    <externalReference r:id="rId194"/>
    <externalReference r:id="rId195"/>
    <externalReference r:id="rId196"/>
    <externalReference r:id="rId197"/>
    <externalReference r:id="rId198"/>
    <externalReference r:id="rId199"/>
    <externalReference r:id="rId200"/>
    <externalReference r:id="rId201"/>
  </externalReferences>
  <definedNames>
    <definedName name="\0">#N/A</definedName>
    <definedName name="\a" localSheetId="52">#REF!</definedName>
    <definedName name="\a" localSheetId="51">#REF!</definedName>
    <definedName name="\a" localSheetId="1">#REF!</definedName>
    <definedName name="\a">#REF!</definedName>
    <definedName name="\b" localSheetId="51">#REF!</definedName>
    <definedName name="\b">#REF!</definedName>
    <definedName name="\c" localSheetId="51">#REF!</definedName>
    <definedName name="\c">#REF!</definedName>
    <definedName name="\d" localSheetId="51">#REF!</definedName>
    <definedName name="\d">#REF!</definedName>
    <definedName name="\e" localSheetId="51">#REF!</definedName>
    <definedName name="\e">#REF!</definedName>
    <definedName name="\f" localSheetId="51">#REF!</definedName>
    <definedName name="\f">#REF!</definedName>
    <definedName name="\FF" localSheetId="51">'[1]97 사업추정(WEKI)'!#REF!</definedName>
    <definedName name="\FF">'[1]97 사업추정(WEKI)'!#REF!</definedName>
    <definedName name="\FG">[2]상반기손익차2총괄!#REF!</definedName>
    <definedName name="\g" localSheetId="51">#REF!</definedName>
    <definedName name="\g">#REF!</definedName>
    <definedName name="\h" localSheetId="51">#REF!</definedName>
    <definedName name="\h">#REF!</definedName>
    <definedName name="\i" localSheetId="51">#REF!</definedName>
    <definedName name="\i">#REF!</definedName>
    <definedName name="\j" localSheetId="51">#REF!</definedName>
    <definedName name="\j">#REF!</definedName>
    <definedName name="\k" localSheetId="51">#REF!</definedName>
    <definedName name="\k">#REF!</definedName>
    <definedName name="\L">[3]DLC!$HR$111</definedName>
    <definedName name="\m" localSheetId="51">#REF!</definedName>
    <definedName name="\m">#REF!</definedName>
    <definedName name="\n" localSheetId="51">#REF!</definedName>
    <definedName name="\n">#REF!</definedName>
    <definedName name="\o" localSheetId="51">#REF!</definedName>
    <definedName name="\o">#REF!</definedName>
    <definedName name="\p" localSheetId="51">#REF!</definedName>
    <definedName name="\p">#REF!</definedName>
    <definedName name="\PP" localSheetId="51">[4]소화실적!#REF!</definedName>
    <definedName name="\PP">[4]소화실적!#REF!</definedName>
    <definedName name="\q">#N/A</definedName>
    <definedName name="\r">#N/A</definedName>
    <definedName name="\s" localSheetId="51">#REF!</definedName>
    <definedName name="\s">#REF!</definedName>
    <definedName name="\t" localSheetId="51">#REF!</definedName>
    <definedName name="\t">#REF!</definedName>
    <definedName name="\u">#N/A</definedName>
    <definedName name="\v">#N/A</definedName>
    <definedName name="\w" localSheetId="51">#REF!</definedName>
    <definedName name="\w">#REF!</definedName>
    <definedName name="\x" localSheetId="51">#REF!</definedName>
    <definedName name="\x">#REF!</definedName>
    <definedName name="\y">#N/A</definedName>
    <definedName name="\z" localSheetId="51">#REF!</definedName>
    <definedName name="\z">#REF!</definedName>
    <definedName name="_" localSheetId="51">#REF!</definedName>
    <definedName name="_">#REF!</definedName>
    <definedName name="_.._D__D__D__D_" localSheetId="51">#REF!</definedName>
    <definedName name="_.._D__D__D__D_">#REF!</definedName>
    <definedName name="___________________________________________PG2" localSheetId="51">#REF!</definedName>
    <definedName name="___________________________________________PG2">#REF!</definedName>
    <definedName name="___________________________________________PG3" localSheetId="51">#REF!</definedName>
    <definedName name="___________________________________________PG3">#REF!</definedName>
    <definedName name="__________________________________________PG2" localSheetId="51">#REF!</definedName>
    <definedName name="__________________________________________PG2">#REF!</definedName>
    <definedName name="__________________________________________PG3" localSheetId="51">#REF!</definedName>
    <definedName name="__________________________________________PG3">#REF!</definedName>
    <definedName name="_________________________________________PG2" localSheetId="51">#REF!</definedName>
    <definedName name="_________________________________________PG2">#REF!</definedName>
    <definedName name="_________________________________________PG3" localSheetId="51">#REF!</definedName>
    <definedName name="_________________________________________PG3">#REF!</definedName>
    <definedName name="________________________________________PG2" localSheetId="51">#REF!</definedName>
    <definedName name="________________________________________PG2">#REF!</definedName>
    <definedName name="________________________________________PG3" localSheetId="51">#REF!</definedName>
    <definedName name="________________________________________PG3">#REF!</definedName>
    <definedName name="_______________________________________PG1" localSheetId="51">'[5]Financial Estimates'!$A$7:$B$108</definedName>
    <definedName name="_______________________________________PG1">'[5]Financial Estimates'!$A$7:$B$108</definedName>
    <definedName name="_______________________________________PG2" localSheetId="51">#REF!</definedName>
    <definedName name="_______________________________________PG2">#REF!</definedName>
    <definedName name="_______________________________________PG3" localSheetId="51">#REF!</definedName>
    <definedName name="_______________________________________PG3">#REF!</definedName>
    <definedName name="_______________________________________PG5" localSheetId="51">'[5]Financial Estimates'!$A$271:$D$342</definedName>
    <definedName name="_______________________________________PG5">'[5]Financial Estimates'!$A$271:$D$342</definedName>
    <definedName name="______________________________________PG1" localSheetId="51">'[5]Financial Estimates'!$A$7:$B$108</definedName>
    <definedName name="______________________________________PG1">'[5]Financial Estimates'!$A$7:$B$108</definedName>
    <definedName name="______________________________________PG2" localSheetId="51">#REF!</definedName>
    <definedName name="______________________________________PG2">#REF!</definedName>
    <definedName name="______________________________________PG3" localSheetId="51">#REF!</definedName>
    <definedName name="______________________________________PG3">#REF!</definedName>
    <definedName name="______________________________________PG5" localSheetId="51">'[5]Financial Estimates'!$A$271:$D$342</definedName>
    <definedName name="______________________________________PG5">'[5]Financial Estimates'!$A$271:$D$342</definedName>
    <definedName name="______________________________________zz1" localSheetId="51">#REF!</definedName>
    <definedName name="______________________________________zz1">#REF!</definedName>
    <definedName name="_____________________________________PG1" localSheetId="51">'[5]Financial Estimates'!$A$7:$B$108</definedName>
    <definedName name="_____________________________________PG1">'[5]Financial Estimates'!$A$7:$B$108</definedName>
    <definedName name="_____________________________________PG2" localSheetId="51">#REF!</definedName>
    <definedName name="_____________________________________PG2">#REF!</definedName>
    <definedName name="_____________________________________PG3" localSheetId="51">#REF!</definedName>
    <definedName name="_____________________________________PG3">#REF!</definedName>
    <definedName name="_____________________________________PG5" localSheetId="51">'[5]Financial Estimates'!$A$271:$D$342</definedName>
    <definedName name="_____________________________________PG5">'[5]Financial Estimates'!$A$271:$D$342</definedName>
    <definedName name="_____________________________________zz1" localSheetId="51">#REF!</definedName>
    <definedName name="_____________________________________zz1">#REF!</definedName>
    <definedName name="____________________________________PG1" localSheetId="51">'[5]Financial Estimates'!$A$7:$B$108</definedName>
    <definedName name="____________________________________PG1">'[5]Financial Estimates'!$A$7:$B$108</definedName>
    <definedName name="____________________________________PG2" localSheetId="51">#REF!</definedName>
    <definedName name="____________________________________PG2">#REF!</definedName>
    <definedName name="____________________________________PG3" localSheetId="51">#REF!</definedName>
    <definedName name="____________________________________PG3">#REF!</definedName>
    <definedName name="____________________________________PG5" localSheetId="51">'[5]Financial Estimates'!$A$271:$D$342</definedName>
    <definedName name="____________________________________PG5">'[5]Financial Estimates'!$A$271:$D$342</definedName>
    <definedName name="____________________________________za1" localSheetId="51">#REF!</definedName>
    <definedName name="____________________________________za1">#REF!</definedName>
    <definedName name="____________________________________zz1" localSheetId="51">#REF!</definedName>
    <definedName name="____________________________________zz1">#REF!</definedName>
    <definedName name="___________________________________PG1" localSheetId="51">'[5]Financial Estimates'!$A$7:$B$108</definedName>
    <definedName name="___________________________________PG1">'[5]Financial Estimates'!$A$7:$B$108</definedName>
    <definedName name="___________________________________PG2" localSheetId="51">#REF!</definedName>
    <definedName name="___________________________________PG2">#REF!</definedName>
    <definedName name="___________________________________PG3" localSheetId="51">#REF!</definedName>
    <definedName name="___________________________________PG3">#REF!</definedName>
    <definedName name="___________________________________PG5" localSheetId="51">'[5]Financial Estimates'!$A$271:$D$342</definedName>
    <definedName name="___________________________________PG5">'[5]Financial Estimates'!$A$271:$D$342</definedName>
    <definedName name="___________________________________pg6" localSheetId="51">'[6]Financial Estimates'!$A$271:$D$342</definedName>
    <definedName name="___________________________________pg6">'[6]Financial Estimates'!$A$271:$D$342</definedName>
    <definedName name="___________________________________pg7" localSheetId="51">'[6]Financial Estimates'!#REF!</definedName>
    <definedName name="___________________________________pg7">'[6]Financial Estimates'!#REF!</definedName>
    <definedName name="___________________________________za1" localSheetId="51">#REF!</definedName>
    <definedName name="___________________________________za1">#REF!</definedName>
    <definedName name="___________________________________zz1" localSheetId="51">#REF!</definedName>
    <definedName name="___________________________________zz1">#REF!</definedName>
    <definedName name="__________________________________PG1" localSheetId="51">'[5]Financial Estimates'!$A$7:$B$108</definedName>
    <definedName name="__________________________________PG1">'[5]Financial Estimates'!$A$7:$B$108</definedName>
    <definedName name="__________________________________PG2" localSheetId="51">#REF!</definedName>
    <definedName name="__________________________________PG2">#REF!</definedName>
    <definedName name="__________________________________PG3" localSheetId="51">#REF!</definedName>
    <definedName name="__________________________________PG3">#REF!</definedName>
    <definedName name="__________________________________PG5" localSheetId="51">'[5]Financial Estimates'!$A$271:$D$342</definedName>
    <definedName name="__________________________________PG5">'[5]Financial Estimates'!$A$271:$D$342</definedName>
    <definedName name="__________________________________pg6" localSheetId="51">'[6]Financial Estimates'!$A$271:$D$342</definedName>
    <definedName name="__________________________________pg6">'[6]Financial Estimates'!$A$271:$D$342</definedName>
    <definedName name="__________________________________pg7" localSheetId="51">'[6]Financial Estimates'!#REF!</definedName>
    <definedName name="__________________________________pg7">'[6]Financial Estimates'!#REF!</definedName>
    <definedName name="__________________________________za1" localSheetId="51">#REF!</definedName>
    <definedName name="__________________________________za1">#REF!</definedName>
    <definedName name="__________________________________zz1" localSheetId="51">#REF!</definedName>
    <definedName name="__________________________________zz1">#REF!</definedName>
    <definedName name="_________________________________PG1" localSheetId="51">'[5]Financial Estimates'!$A$7:$B$108</definedName>
    <definedName name="_________________________________PG1">'[5]Financial Estimates'!$A$7:$B$108</definedName>
    <definedName name="_________________________________PG2" localSheetId="51">#REF!</definedName>
    <definedName name="_________________________________PG2">#REF!</definedName>
    <definedName name="_________________________________PG3" localSheetId="51">#REF!</definedName>
    <definedName name="_________________________________PG3">#REF!</definedName>
    <definedName name="_________________________________PG5" localSheetId="51">'[5]Financial Estimates'!$A$271:$D$342</definedName>
    <definedName name="_________________________________PG5">'[5]Financial Estimates'!$A$271:$D$342</definedName>
    <definedName name="_________________________________pg6" localSheetId="51">'[6]Financial Estimates'!$A$271:$D$342</definedName>
    <definedName name="_________________________________pg6">'[6]Financial Estimates'!$A$271:$D$342</definedName>
    <definedName name="_________________________________pg7" localSheetId="51">'[6]Financial Estimates'!#REF!</definedName>
    <definedName name="_________________________________pg7">'[6]Financial Estimates'!#REF!</definedName>
    <definedName name="_________________________________za1" localSheetId="51">#REF!</definedName>
    <definedName name="_________________________________za1">#REF!</definedName>
    <definedName name="_________________________________zz1" localSheetId="51">#REF!</definedName>
    <definedName name="_________________________________zz1">#REF!</definedName>
    <definedName name="________________________________pg7" localSheetId="51">'[6]Financial Estimates'!#REF!</definedName>
    <definedName name="________________________________pg7">'[6]Financial Estimates'!#REF!</definedName>
    <definedName name="________________________________za1" localSheetId="51">'[7]MIS - License Area'!#REF!</definedName>
    <definedName name="________________________________za1">'[7]MIS - License Area'!#REF!</definedName>
    <definedName name="________________________________zz1" localSheetId="51">'[7]MIS - License Area'!#REF!</definedName>
    <definedName name="________________________________zz1">'[7]MIS - License Area'!#REF!</definedName>
    <definedName name="_______________________________pg7" localSheetId="51">'[6]Financial Estimates'!#REF!</definedName>
    <definedName name="_______________________________pg7">'[6]Financial Estimates'!#REF!</definedName>
    <definedName name="_______________________________za1" localSheetId="51">#REF!</definedName>
    <definedName name="_______________________________za1">#REF!</definedName>
    <definedName name="_______________________________zz1" localSheetId="51">#REF!</definedName>
    <definedName name="_______________________________zz1">#REF!</definedName>
    <definedName name="______________________________PG1" localSheetId="51">'[5]Financial Estimates'!$A$7:$B$108</definedName>
    <definedName name="______________________________PG1">'[5]Financial Estimates'!$A$7:$B$108</definedName>
    <definedName name="______________________________pg7" localSheetId="51">'[6]Financial Estimates'!#REF!</definedName>
    <definedName name="______________________________pg7">'[6]Financial Estimates'!#REF!</definedName>
    <definedName name="______________________________za1" localSheetId="51">#REF!</definedName>
    <definedName name="______________________________za1">#REF!</definedName>
    <definedName name="______________________________zz1" localSheetId="51">#REF!</definedName>
    <definedName name="______________________________zz1">#REF!</definedName>
    <definedName name="_____________________________PG1" localSheetId="51">'[5]Financial Estimates'!$A$7:$B$108</definedName>
    <definedName name="_____________________________PG1">'[5]Financial Estimates'!$A$7:$B$108</definedName>
    <definedName name="______________________DAT2" localSheetId="51">#REF!</definedName>
    <definedName name="______________________DAT2">#REF!</definedName>
    <definedName name="______________________DAT3" localSheetId="51">#REF!</definedName>
    <definedName name="______________________DAT3">#REF!</definedName>
    <definedName name="______________________DAT4" localSheetId="51">#REF!</definedName>
    <definedName name="______________________DAT4">#REF!</definedName>
    <definedName name="_____________________DAT15" localSheetId="51">'[8]ins spares'!#REF!</definedName>
    <definedName name="_____________________DAT15">'[8]ins spares'!#REF!</definedName>
    <definedName name="_____________________DAT2" localSheetId="51">#REF!</definedName>
    <definedName name="_____________________DAT2">#REF!</definedName>
    <definedName name="_____________________DAT3" localSheetId="51">#REF!</definedName>
    <definedName name="_____________________DAT3">#REF!</definedName>
    <definedName name="_____________________DAT4" localSheetId="51">#REF!</definedName>
    <definedName name="_____________________DAT4">#REF!</definedName>
    <definedName name="_____________________DAT5" localSheetId="51">#REF!</definedName>
    <definedName name="_____________________DAT5">#REF!</definedName>
    <definedName name="_____________________DAT6" localSheetId="51">#REF!</definedName>
    <definedName name="_____________________DAT6">#REF!</definedName>
    <definedName name="_____________________DAT7" localSheetId="51">#REF!</definedName>
    <definedName name="_____________________DAT7">#REF!</definedName>
    <definedName name="_____________________DAT8" localSheetId="51">#REF!</definedName>
    <definedName name="_____________________DAT8">#REF!</definedName>
    <definedName name="_____________________DAT9" localSheetId="51">#REF!</definedName>
    <definedName name="_____________________DAT9">#REF!</definedName>
    <definedName name="_____________________za1">#REF!</definedName>
    <definedName name="_____________________zz1">#REF!</definedName>
    <definedName name="____________________DAT12">'[9]ins spares'!#REF!</definedName>
    <definedName name="____________________DAT13">'[9]ins spares'!#REF!</definedName>
    <definedName name="____________________DAT15" localSheetId="51">'[8]ins spares'!#REF!</definedName>
    <definedName name="____________________DAT15">'[8]ins spares'!#REF!</definedName>
    <definedName name="____________________DAT16">'[9]ins spares'!#REF!</definedName>
    <definedName name="____________________DAT18">'[9]ins spares'!#REF!</definedName>
    <definedName name="____________________DAT19">'[9]ins spares'!#REF!</definedName>
    <definedName name="____________________DAT2" localSheetId="51">#REF!</definedName>
    <definedName name="____________________DAT2">#REF!</definedName>
    <definedName name="____________________DAT20">'[9]ins spares'!#REF!</definedName>
    <definedName name="____________________DAT21">'[9]ins spares'!#REF!</definedName>
    <definedName name="____________________DAT22">'[9]ins spares'!#REF!</definedName>
    <definedName name="____________________DAT23">'[9]ins spares'!#REF!</definedName>
    <definedName name="____________________DAT24">'[9]ins spares'!#REF!</definedName>
    <definedName name="____________________DAT3" localSheetId="51">#REF!</definedName>
    <definedName name="____________________DAT3">#REF!</definedName>
    <definedName name="____________________DAT4" localSheetId="51">#REF!</definedName>
    <definedName name="____________________DAT4">#REF!</definedName>
    <definedName name="____________________DAT5" localSheetId="51">#REF!</definedName>
    <definedName name="____________________DAT5">#REF!</definedName>
    <definedName name="____________________DAT6" localSheetId="51">#REF!</definedName>
    <definedName name="____________________DAT6">#REF!</definedName>
    <definedName name="____________________DAT7" localSheetId="51">#REF!</definedName>
    <definedName name="____________________DAT7">#REF!</definedName>
    <definedName name="____________________DAT8" localSheetId="51">#REF!</definedName>
    <definedName name="____________________DAT8">#REF!</definedName>
    <definedName name="____________________DAT9" localSheetId="51">#REF!</definedName>
    <definedName name="____________________DAT9">#REF!</definedName>
    <definedName name="____________________PG1">'[10]Financial Estimates'!$A$7:$B$108</definedName>
    <definedName name="____________________pg7">'[11]Financial Estimates'!#REF!</definedName>
    <definedName name="____________________za1">#REF!</definedName>
    <definedName name="____________________zz1">#REF!</definedName>
    <definedName name="___________________DAT1">#REF!</definedName>
    <definedName name="___________________DAT10">#REF!</definedName>
    <definedName name="___________________DAT11">#REF!</definedName>
    <definedName name="___________________DAT12">'[9]ins spares'!#REF!</definedName>
    <definedName name="___________________DAT13">'[9]ins spares'!#REF!</definedName>
    <definedName name="___________________DAT15" localSheetId="51">'[8]ins spares'!#REF!</definedName>
    <definedName name="___________________DAT15">'[8]ins spares'!#REF!</definedName>
    <definedName name="___________________DAT16">'[9]ins spares'!#REF!</definedName>
    <definedName name="___________________DAT18">'[9]ins spares'!#REF!</definedName>
    <definedName name="___________________DAT19">'[9]ins spares'!#REF!</definedName>
    <definedName name="___________________DAT2" localSheetId="51">#REF!</definedName>
    <definedName name="___________________DAT2">#REF!</definedName>
    <definedName name="___________________DAT20">'[9]ins spares'!#REF!</definedName>
    <definedName name="___________________DAT21">'[9]ins spares'!#REF!</definedName>
    <definedName name="___________________DAT22">'[9]ins spares'!#REF!</definedName>
    <definedName name="___________________DAT23">'[9]ins spares'!#REF!</definedName>
    <definedName name="___________________DAT24">'[9]ins spares'!#REF!</definedName>
    <definedName name="___________________DAT3" localSheetId="51">#REF!</definedName>
    <definedName name="___________________DAT3">#REF!</definedName>
    <definedName name="___________________DAT4" localSheetId="51">#REF!</definedName>
    <definedName name="___________________DAT4">#REF!</definedName>
    <definedName name="___________________DAT5" localSheetId="51">#REF!</definedName>
    <definedName name="___________________DAT5">#REF!</definedName>
    <definedName name="___________________DAT6" localSheetId="51">#REF!</definedName>
    <definedName name="___________________DAT6">#REF!</definedName>
    <definedName name="___________________DAT7" localSheetId="51">#REF!</definedName>
    <definedName name="___________________DAT7">#REF!</definedName>
    <definedName name="___________________DAT8" localSheetId="51">#REF!</definedName>
    <definedName name="___________________DAT8">#REF!</definedName>
    <definedName name="___________________DAT9" localSheetId="51">#REF!</definedName>
    <definedName name="___________________DAT9">#REF!</definedName>
    <definedName name="___________________PG1">'[12]Financial Estimates'!$A$7:$B$108</definedName>
    <definedName name="___________________PG2">#REF!</definedName>
    <definedName name="___________________PG3">#REF!</definedName>
    <definedName name="___________________PG5">'[12]Financial Estimates'!$A$271:$D$342</definedName>
    <definedName name="___________________pg7">'[11]Financial Estimates'!#REF!</definedName>
    <definedName name="___________________za1">#REF!</definedName>
    <definedName name="___________________zz1">#REF!</definedName>
    <definedName name="__________________BSD1">#REF!</definedName>
    <definedName name="__________________BSD2">#REF!</definedName>
    <definedName name="__________________DAT1">#REF!</definedName>
    <definedName name="__________________DAT10">#REF!</definedName>
    <definedName name="__________________DAT11">#REF!</definedName>
    <definedName name="__________________DAT12">#REF!</definedName>
    <definedName name="__________________DAT13">#REF!</definedName>
    <definedName name="__________________DAT15" localSheetId="51">'[8]ins spares'!#REF!</definedName>
    <definedName name="__________________DAT15">'[8]ins spares'!#REF!</definedName>
    <definedName name="__________________DAT16">#REF!</definedName>
    <definedName name="__________________DAT18">#REF!</definedName>
    <definedName name="__________________DAT19">#REF!</definedName>
    <definedName name="__________________DAT2" localSheetId="51">#REF!</definedName>
    <definedName name="__________________DAT2">#REF!</definedName>
    <definedName name="__________________DAT20">#REF!</definedName>
    <definedName name="__________________DAT21">#REF!</definedName>
    <definedName name="__________________DAT22">#REF!</definedName>
    <definedName name="__________________DAT23">#REF!</definedName>
    <definedName name="__________________DAT24">#REF!</definedName>
    <definedName name="__________________DAT3" localSheetId="51">#REF!</definedName>
    <definedName name="__________________DAT3">#REF!</definedName>
    <definedName name="__________________DAT4" localSheetId="51">#REF!</definedName>
    <definedName name="__________________DAT4">#REF!</definedName>
    <definedName name="__________________DAT5" localSheetId="51">#REF!</definedName>
    <definedName name="__________________DAT5">#REF!</definedName>
    <definedName name="__________________DAT6" localSheetId="51">#REF!</definedName>
    <definedName name="__________________DAT6">#REF!</definedName>
    <definedName name="__________________DAT7" localSheetId="51">#REF!</definedName>
    <definedName name="__________________DAT7">#REF!</definedName>
    <definedName name="__________________DAT8" localSheetId="51">#REF!</definedName>
    <definedName name="__________________DAT8">#REF!</definedName>
    <definedName name="__________________DAT9" localSheetId="51">#REF!</definedName>
    <definedName name="__________________DAT9">#REF!</definedName>
    <definedName name="__________________IED1">#REF!</definedName>
    <definedName name="__________________IED2">#REF!</definedName>
    <definedName name="__________________PG1" localSheetId="51">'[5]Financial Estimates'!$A$7:$B$108</definedName>
    <definedName name="__________________PG1">'[5]Financial Estimates'!$A$7:$B$108</definedName>
    <definedName name="__________________PG2">#REF!</definedName>
    <definedName name="__________________PG3">#REF!</definedName>
    <definedName name="__________________PG5">'[13]Financial Estimates'!$A$271:$D$342</definedName>
    <definedName name="__________________pg6">'[11]Financial Estimates'!$A$271:$D$342</definedName>
    <definedName name="__________________pg7">#REF!</definedName>
    <definedName name="__________________za1">#REF!</definedName>
    <definedName name="__________________zz1">#REF!</definedName>
    <definedName name="_________________BSD1">#REF!</definedName>
    <definedName name="_________________BSD2">#REF!</definedName>
    <definedName name="_________________DAT1" localSheetId="51">#REF!</definedName>
    <definedName name="_________________DAT1">#REF!</definedName>
    <definedName name="_________________DAT10">#REF!</definedName>
    <definedName name="_________________DAT11">#REF!</definedName>
    <definedName name="_________________DAT12">#REF!</definedName>
    <definedName name="_________________DAT13" localSheetId="51">'[8]ins spares'!#REF!</definedName>
    <definedName name="_________________DAT13">'[8]ins spares'!#REF!</definedName>
    <definedName name="_________________DAT15" localSheetId="51">'[8]ins spares'!#REF!</definedName>
    <definedName name="_________________DAT15">'[8]ins spares'!#REF!</definedName>
    <definedName name="_________________DAT16" localSheetId="51">'[8]ins spares'!#REF!</definedName>
    <definedName name="_________________DAT16">'[8]ins spares'!#REF!</definedName>
    <definedName name="_________________DAT18" localSheetId="51">'[8]ins spares'!#REF!</definedName>
    <definedName name="_________________DAT18">'[8]ins spares'!#REF!</definedName>
    <definedName name="_________________DAT19" localSheetId="51">'[8]ins spares'!#REF!</definedName>
    <definedName name="_________________DAT19">'[8]ins spares'!#REF!</definedName>
    <definedName name="_________________DAT2" localSheetId="51">#REF!</definedName>
    <definedName name="_________________DAT2">#REF!</definedName>
    <definedName name="_________________DAT20" localSheetId="51">'[8]ins spares'!#REF!</definedName>
    <definedName name="_________________DAT20">'[8]ins spares'!#REF!</definedName>
    <definedName name="_________________DAT21" localSheetId="51">'[8]ins spares'!#REF!</definedName>
    <definedName name="_________________DAT21">'[8]ins spares'!#REF!</definedName>
    <definedName name="_________________DAT22" localSheetId="51">'[8]ins spares'!#REF!</definedName>
    <definedName name="_________________DAT22">'[8]ins spares'!#REF!</definedName>
    <definedName name="_________________DAT23" localSheetId="51">'[8]ins spares'!#REF!</definedName>
    <definedName name="_________________DAT23">'[8]ins spares'!#REF!</definedName>
    <definedName name="_________________DAT24" localSheetId="51">'[8]ins spares'!#REF!</definedName>
    <definedName name="_________________DAT24">'[8]ins spares'!#REF!</definedName>
    <definedName name="_________________DAT3" localSheetId="51">#REF!</definedName>
    <definedName name="_________________DAT3">#REF!</definedName>
    <definedName name="_________________DAT4" localSheetId="51">#REF!</definedName>
    <definedName name="_________________DAT4">#REF!</definedName>
    <definedName name="_________________DAT5" localSheetId="51">#REF!</definedName>
    <definedName name="_________________DAT5">#REF!</definedName>
    <definedName name="_________________DAT6" localSheetId="51">#REF!</definedName>
    <definedName name="_________________DAT6">#REF!</definedName>
    <definedName name="_________________DAT7" localSheetId="51">#REF!</definedName>
    <definedName name="_________________DAT7">#REF!</definedName>
    <definedName name="_________________DAT8" localSheetId="51">#REF!</definedName>
    <definedName name="_________________DAT8">#REF!</definedName>
    <definedName name="_________________DAT9" localSheetId="51">#REF!</definedName>
    <definedName name="_________________DAT9">#REF!</definedName>
    <definedName name="_________________G87634" localSheetId="51">#REF!</definedName>
    <definedName name="_________________G87634">#REF!</definedName>
    <definedName name="_________________IED1">#REF!</definedName>
    <definedName name="_________________IED2">#REF!</definedName>
    <definedName name="_________________PG1">'[13]Financial Estimates'!$A$7:$B$108</definedName>
    <definedName name="_________________PG2">#REF!</definedName>
    <definedName name="_________________PG3">#REF!</definedName>
    <definedName name="_________________PG5">'[13]Financial Estimates'!$A$271:$D$342</definedName>
    <definedName name="_________________pg6">#REF!</definedName>
    <definedName name="_________________pg7">#REF!</definedName>
    <definedName name="_________________za1">#REF!</definedName>
    <definedName name="_________________zz1">#REF!</definedName>
    <definedName name="________________BSD1">#REF!</definedName>
    <definedName name="________________BSD2">#REF!</definedName>
    <definedName name="________________DAT1">#REF!</definedName>
    <definedName name="________________DAT10">#REF!</definedName>
    <definedName name="________________DAT11">#REF!</definedName>
    <definedName name="________________DAT12" localSheetId="51">'[8]ins spares'!#REF!</definedName>
    <definedName name="________________DAT12">'[8]ins spares'!#REF!</definedName>
    <definedName name="________________DAT13" localSheetId="51">'[8]ins spares'!#REF!</definedName>
    <definedName name="________________DAT13">'[8]ins spares'!#REF!</definedName>
    <definedName name="________________DAT15" localSheetId="51">'[8]ins spares'!#REF!</definedName>
    <definedName name="________________DAT15">'[8]ins spares'!#REF!</definedName>
    <definedName name="________________DAT16" localSheetId="51">'[8]ins spares'!#REF!</definedName>
    <definedName name="________________DAT16">'[8]ins spares'!#REF!</definedName>
    <definedName name="________________DAT18" localSheetId="51">'[8]ins spares'!#REF!</definedName>
    <definedName name="________________DAT18">'[8]ins spares'!#REF!</definedName>
    <definedName name="________________DAT19" localSheetId="51">'[8]ins spares'!#REF!</definedName>
    <definedName name="________________DAT19">'[8]ins spares'!#REF!</definedName>
    <definedName name="________________DAT2">#REF!</definedName>
    <definedName name="________________DAT20">#REF!</definedName>
    <definedName name="________________DAT21">#REF!</definedName>
    <definedName name="________________DAT22">#REF!</definedName>
    <definedName name="________________DAT23">#REF!</definedName>
    <definedName name="________________DAT24">#REF!</definedName>
    <definedName name="________________DAT3">#REF!</definedName>
    <definedName name="________________DAT4">#REF!</definedName>
    <definedName name="________________DAT5">#REF!</definedName>
    <definedName name="________________DAT6">#REF!</definedName>
    <definedName name="________________DAT7" localSheetId="51">#REF!</definedName>
    <definedName name="________________DAT7">#REF!</definedName>
    <definedName name="________________DAT8">#REF!</definedName>
    <definedName name="________________DAT9">#REF!</definedName>
    <definedName name="________________G87634" localSheetId="51">#REF!</definedName>
    <definedName name="________________G87634">#REF!</definedName>
    <definedName name="________________IED1">#REF!</definedName>
    <definedName name="________________IED2">#REF!</definedName>
    <definedName name="________________PG1" localSheetId="51">'[5]Financial Estimates'!$A$7:$B$108</definedName>
    <definedName name="________________PG1">'[5]Financial Estimates'!$A$7:$B$108</definedName>
    <definedName name="________________PG2">#REF!</definedName>
    <definedName name="________________PG3">#REF!</definedName>
    <definedName name="________________PG5">'[13]Financial Estimates'!$A$271:$D$342</definedName>
    <definedName name="________________pg6">#REF!</definedName>
    <definedName name="________________pg7">#REF!</definedName>
    <definedName name="________________za1">#REF!</definedName>
    <definedName name="________________zz1">#REF!</definedName>
    <definedName name="_______________BSD1">#REF!</definedName>
    <definedName name="_______________BSD2">#REF!</definedName>
    <definedName name="_______________DAT1">#REF!</definedName>
    <definedName name="_______________DAT10" localSheetId="51">#REF!</definedName>
    <definedName name="_______________DAT10">#REF!</definedName>
    <definedName name="_______________DAT11" localSheetId="51">#REF!</definedName>
    <definedName name="_______________DAT11">#REF!</definedName>
    <definedName name="_______________DAT12">#REF!</definedName>
    <definedName name="_______________DAT13">#REF!</definedName>
    <definedName name="_______________DAT15">#REF!</definedName>
    <definedName name="_______________DAT16">#REF!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3">#REF!</definedName>
    <definedName name="_______________DAT4">#REF!</definedName>
    <definedName name="_______________DAT5" localSheetId="51">#REF!</definedName>
    <definedName name="_______________DAT5">#REF!</definedName>
    <definedName name="_______________DAT6" localSheetId="51">#REF!</definedName>
    <definedName name="_______________DAT6">#REF!</definedName>
    <definedName name="_______________DAT7">#REF!</definedName>
    <definedName name="_______________DAT8" localSheetId="51">#REF!</definedName>
    <definedName name="_______________DAT8">#REF!</definedName>
    <definedName name="_______________DAT9" localSheetId="51">#REF!</definedName>
    <definedName name="_______________DAT9">#REF!</definedName>
    <definedName name="_______________IED1">#REF!</definedName>
    <definedName name="_______________IED2">#REF!</definedName>
    <definedName name="_______________PG1">'[14]Financial Estimates'!$A$7:$B$108</definedName>
    <definedName name="_______________PG2">#REF!</definedName>
    <definedName name="_______________PG3">#REF!</definedName>
    <definedName name="_______________PG5">'[14]Financial Estimates'!$A$271:$D$342</definedName>
    <definedName name="_______________pg6">#REF!</definedName>
    <definedName name="_______________pg7">#REF!</definedName>
    <definedName name="_______________za1">#REF!</definedName>
    <definedName name="_______________zz1">#REF!</definedName>
    <definedName name="______________BSD1">#REF!</definedName>
    <definedName name="______________BSD2">#REF!</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5">#REF!</definedName>
    <definedName name="______________DAT16">#REF!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3">#REF!</definedName>
    <definedName name="______________DAT4">#REF!</definedName>
    <definedName name="______________DAT5">#REF!</definedName>
    <definedName name="______________DAT6">#REF!</definedName>
    <definedName name="______________DAT7">#REF!</definedName>
    <definedName name="______________DAT8">#REF!</definedName>
    <definedName name="______________DAT9">#REF!</definedName>
    <definedName name="______________IED1">#REF!</definedName>
    <definedName name="______________IED2">#REF!</definedName>
    <definedName name="______________PG1">'[13]Financial Estimates'!$A$7:$B$108</definedName>
    <definedName name="______________PG2">#REF!</definedName>
    <definedName name="______________PG3">#REF!</definedName>
    <definedName name="______________PG5">'[13]Financial Estimates'!$A$271:$D$342</definedName>
    <definedName name="______________pg6">#REF!</definedName>
    <definedName name="______________pg7">#REF!</definedName>
    <definedName name="______________za1">#REF!</definedName>
    <definedName name="______________zz1">#REF!</definedName>
    <definedName name="_____________BSD1">#REF!</definedName>
    <definedName name="_____________BSD2">#REF!</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5">#REF!</definedName>
    <definedName name="_____________DAT16">#REF!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3">#REF!</definedName>
    <definedName name="_____________DAT4">#REF!</definedName>
    <definedName name="_____________DAT5">#REF!</definedName>
    <definedName name="_____________DAT6">#REF!</definedName>
    <definedName name="_____________DAT7">#REF!</definedName>
    <definedName name="_____________DAT8">#REF!</definedName>
    <definedName name="_____________DAT9">#REF!</definedName>
    <definedName name="_____________IED1">#REF!</definedName>
    <definedName name="_____________IED2">#REF!</definedName>
    <definedName name="_____________PG1">'[15]Financial Estimates'!$A$7:$B$108</definedName>
    <definedName name="_____________PG2">#REF!</definedName>
    <definedName name="_____________PG3">#REF!</definedName>
    <definedName name="_____________PG5">'[15]Financial Estimates'!$A$271:$D$342</definedName>
    <definedName name="_____________pg6" localSheetId="51">'[6]Financial Estimates'!$A$271:$D$342</definedName>
    <definedName name="_____________pg6">'[6]Financial Estimates'!$A$271:$D$342</definedName>
    <definedName name="_____________pg7">#REF!</definedName>
    <definedName name="_____________za1">#REF!</definedName>
    <definedName name="_____________zz1">#REF!</definedName>
    <definedName name="____________BSD1">#REF!</definedName>
    <definedName name="____________BSD2">#REF!</definedName>
    <definedName name="____________DAT1">#REF!</definedName>
    <definedName name="____________DAT10">#REF!</definedName>
    <definedName name="____________DAT11">#REF!</definedName>
    <definedName name="____________DAT12">'[9]ins spares'!#REF!</definedName>
    <definedName name="____________DAT13">'[9]ins spares'!#REF!</definedName>
    <definedName name="____________DAT15">'[9]ins spares'!#REF!</definedName>
    <definedName name="____________DAT16" localSheetId="51">'[8]ins spares'!#REF!</definedName>
    <definedName name="____________DAT16">'[8]ins spares'!#REF!</definedName>
    <definedName name="____________DAT18" localSheetId="51">'[8]ins spares'!#REF!</definedName>
    <definedName name="____________DAT18">'[8]ins spares'!#REF!</definedName>
    <definedName name="____________DAT19" localSheetId="51">'[8]ins spares'!#REF!</definedName>
    <definedName name="____________DAT19">'[8]ins spares'!#REF!</definedName>
    <definedName name="____________DAT2">#REF!</definedName>
    <definedName name="____________DAT20" localSheetId="51">'[8]ins spares'!#REF!</definedName>
    <definedName name="____________DAT20">'[8]ins spares'!#REF!</definedName>
    <definedName name="____________DAT21" localSheetId="51">'[8]ins spares'!#REF!</definedName>
    <definedName name="____________DAT21">'[8]ins spares'!#REF!</definedName>
    <definedName name="____________DAT22" localSheetId="51">'[8]ins spares'!#REF!</definedName>
    <definedName name="____________DAT22">'[8]ins spares'!#REF!</definedName>
    <definedName name="____________DAT23" localSheetId="51">'[8]ins spares'!#REF!</definedName>
    <definedName name="____________DAT23">'[8]ins spares'!#REF!</definedName>
    <definedName name="____________DAT24" localSheetId="51">'[8]ins spares'!#REF!</definedName>
    <definedName name="____________DAT24">'[8]ins spares'!#REF!</definedName>
    <definedName name="____________DAT3">#REF!</definedName>
    <definedName name="____________DAT4">#REF!</definedName>
    <definedName name="____________DAT5">#REF!</definedName>
    <definedName name="____________DAT6">#REF!</definedName>
    <definedName name="____________DAT7">#REF!</definedName>
    <definedName name="____________DAT8">#REF!</definedName>
    <definedName name="____________DAT9">#REF!</definedName>
    <definedName name="____________IED1">#REF!</definedName>
    <definedName name="____________IED2">#REF!</definedName>
    <definedName name="____________PG1">'[12]Financial Estimates'!$A$7:$B$108</definedName>
    <definedName name="____________PG2">#REF!</definedName>
    <definedName name="____________PG3">#REF!</definedName>
    <definedName name="____________PG5" localSheetId="51">'[5]Financial Estimates'!$A$271:$D$342</definedName>
    <definedName name="____________PG5">'[5]Financial Estimates'!$A$271:$D$342</definedName>
    <definedName name="____________pg6" localSheetId="51">'[6]Financial Estimates'!$A$271:$D$342</definedName>
    <definedName name="____________pg6">'[6]Financial Estimates'!$A$271:$D$342</definedName>
    <definedName name="____________pg7">'[11]Financial Estimates'!#REF!</definedName>
    <definedName name="____________za1">#REF!</definedName>
    <definedName name="____________zz1">#REF!</definedName>
    <definedName name="___________BSD1">#REF!</definedName>
    <definedName name="___________BSD2">#REF!</definedName>
    <definedName name="___________D87840" localSheetId="51">#REF!</definedName>
    <definedName name="___________D87840">#REF!</definedName>
    <definedName name="___________DAT1">#REF!</definedName>
    <definedName name="___________DAT10">#REF!</definedName>
    <definedName name="___________DAT11">#REF!</definedName>
    <definedName name="___________DAT12">#REF!</definedName>
    <definedName name="___________DAT13">#REF!</definedName>
    <definedName name="___________DAT15">#REF!</definedName>
    <definedName name="___________DAT16">#REF!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3">#REF!</definedName>
    <definedName name="___________DAT4">#REF!</definedName>
    <definedName name="___________DAT5">#REF!</definedName>
    <definedName name="___________DAT6">#REF!</definedName>
    <definedName name="___________DAT7">#REF!</definedName>
    <definedName name="___________DAT8">#REF!</definedName>
    <definedName name="___________DAT9">#REF!</definedName>
    <definedName name="___________G87634" localSheetId="51">#REF!</definedName>
    <definedName name="___________G87634">#REF!</definedName>
    <definedName name="___________IED1">#REF!</definedName>
    <definedName name="___________IED2">#REF!</definedName>
    <definedName name="___________PG1" localSheetId="51">'[5]Financial Estimates'!$A$7:$B$108</definedName>
    <definedName name="___________PG1">'[5]Financial Estimates'!$A$7:$B$108</definedName>
    <definedName name="___________PG2">#REF!</definedName>
    <definedName name="___________PG3">#REF!</definedName>
    <definedName name="___________PG5" localSheetId="51">'[5]Financial Estimates'!$A$271:$D$342</definedName>
    <definedName name="___________PG5">'[5]Financial Estimates'!$A$271:$D$342</definedName>
    <definedName name="___________pg6" localSheetId="51">'[6]Financial Estimates'!$A$271:$D$342</definedName>
    <definedName name="___________pg6">'[6]Financial Estimates'!$A$271:$D$342</definedName>
    <definedName name="___________pg7">#REF!</definedName>
    <definedName name="___________za1">#REF!</definedName>
    <definedName name="___________zz1">#REF!</definedName>
    <definedName name="__________BSD1">#REF!</definedName>
    <definedName name="__________BSD2">#REF!</definedName>
    <definedName name="__________DAT1">#REF!</definedName>
    <definedName name="__________DAT10">#REF!</definedName>
    <definedName name="__________DAT11">#REF!</definedName>
    <definedName name="__________DAT12">#REF!</definedName>
    <definedName name="__________DAT13">#REF!</definedName>
    <definedName name="__________DAT15">#REF!</definedName>
    <definedName name="__________DAT16">#REF!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3">#REF!</definedName>
    <definedName name="__________DAT4">#REF!</definedName>
    <definedName name="__________DAT5">#REF!</definedName>
    <definedName name="__________DAT6">#REF!</definedName>
    <definedName name="__________DAT7">#REF!</definedName>
    <definedName name="__________DAT8">#REF!</definedName>
    <definedName name="__________DAT9">#REF!</definedName>
    <definedName name="__________IED1">#REF!</definedName>
    <definedName name="__________IED2">#REF!</definedName>
    <definedName name="__________PG1" localSheetId="51">'[5]Financial Estimates'!$A$7:$B$108</definedName>
    <definedName name="__________PG1">'[5]Financial Estimates'!$A$7:$B$108</definedName>
    <definedName name="__________PG2" localSheetId="51">#REF!</definedName>
    <definedName name="__________PG2">#REF!</definedName>
    <definedName name="__________PG3" localSheetId="51">#REF!</definedName>
    <definedName name="__________PG3">#REF!</definedName>
    <definedName name="__________PG5" localSheetId="51">'[5]Financial Estimates'!$A$271:$D$342</definedName>
    <definedName name="__________PG5">'[5]Financial Estimates'!$A$271:$D$342</definedName>
    <definedName name="__________pg6" localSheetId="51">'[6]Financial Estimates'!$A$271:$D$342</definedName>
    <definedName name="__________pg6">'[6]Financial Estimates'!$A$271:$D$342</definedName>
    <definedName name="__________pg7">#REF!</definedName>
    <definedName name="__________za1">#REF!</definedName>
    <definedName name="__________zz1">#REF!</definedName>
    <definedName name="_________BSD1">#REF!</definedName>
    <definedName name="_________BSD2">#REF!</definedName>
    <definedName name="_________DAT1" localSheetId="51">#REF!</definedName>
    <definedName name="_________DAT1">#REF!</definedName>
    <definedName name="_________DAT10" localSheetId="51">#REF!</definedName>
    <definedName name="_________DAT10">#REF!</definedName>
    <definedName name="_________DAT11" localSheetId="51">#REF!</definedName>
    <definedName name="_________DAT11">#REF!</definedName>
    <definedName name="_________DAT12" localSheetId="51">'[8]ins spares'!#REF!</definedName>
    <definedName name="_________DAT12">'[8]ins spares'!#REF!</definedName>
    <definedName name="_________DAT13" localSheetId="51">'[8]ins spares'!#REF!</definedName>
    <definedName name="_________DAT13">'[8]ins spares'!#REF!</definedName>
    <definedName name="_________DAT15" localSheetId="51">'[8]ins spares'!#REF!</definedName>
    <definedName name="_________DAT15">'[8]ins spares'!#REF!</definedName>
    <definedName name="_________DAT16" localSheetId="51">'[8]ins spares'!#REF!</definedName>
    <definedName name="_________DAT16">'[8]ins spares'!#REF!</definedName>
    <definedName name="_________DAT18" localSheetId="51">'[8]ins spares'!#REF!</definedName>
    <definedName name="_________DAT18">'[8]ins spares'!#REF!</definedName>
    <definedName name="_________DAT19" localSheetId="51">'[8]ins spares'!#REF!</definedName>
    <definedName name="_________DAT19">'[8]ins spares'!#REF!</definedName>
    <definedName name="_________DAT2" localSheetId="51">#REF!</definedName>
    <definedName name="_________DAT2">#REF!</definedName>
    <definedName name="_________DAT20" localSheetId="51">'[8]ins spares'!#REF!</definedName>
    <definedName name="_________DAT20">'[8]ins spares'!#REF!</definedName>
    <definedName name="_________DAT21" localSheetId="51">'[8]ins spares'!#REF!</definedName>
    <definedName name="_________DAT21">'[8]ins spares'!#REF!</definedName>
    <definedName name="_________DAT22" localSheetId="51">'[8]ins spares'!#REF!</definedName>
    <definedName name="_________DAT22">'[8]ins spares'!#REF!</definedName>
    <definedName name="_________DAT23" localSheetId="51">'[8]ins spares'!#REF!</definedName>
    <definedName name="_________DAT23">'[8]ins spares'!#REF!</definedName>
    <definedName name="_________DAT24" localSheetId="51">'[8]ins spares'!#REF!</definedName>
    <definedName name="_________DAT24">'[8]ins spares'!#REF!</definedName>
    <definedName name="_________DAT3" localSheetId="51">#REF!</definedName>
    <definedName name="_________DAT3">#REF!</definedName>
    <definedName name="_________DAT4" localSheetId="51">#REF!</definedName>
    <definedName name="_________DAT4">#REF!</definedName>
    <definedName name="_________DAT5" localSheetId="51">#REF!</definedName>
    <definedName name="_________DAT5">#REF!</definedName>
    <definedName name="_________DAT6" localSheetId="51">#REF!</definedName>
    <definedName name="_________DAT6">#REF!</definedName>
    <definedName name="_________DAT7" localSheetId="51">#REF!</definedName>
    <definedName name="_________DAT7">#REF!</definedName>
    <definedName name="_________DAT8" localSheetId="51">#REF!</definedName>
    <definedName name="_________DAT8">#REF!</definedName>
    <definedName name="_________DAT9" localSheetId="51">#REF!</definedName>
    <definedName name="_________DAT9">#REF!</definedName>
    <definedName name="_________IED1">#REF!</definedName>
    <definedName name="_________IED2">#REF!</definedName>
    <definedName name="_________PG1" localSheetId="51">'[5]Financial Estimates'!$A$7:$B$108</definedName>
    <definedName name="_________PG1">'[5]Financial Estimates'!$A$7:$B$108</definedName>
    <definedName name="_________PG2" localSheetId="51">#REF!</definedName>
    <definedName name="_________PG2">#REF!</definedName>
    <definedName name="_________PG3" localSheetId="51">#REF!</definedName>
    <definedName name="_________PG3">#REF!</definedName>
    <definedName name="_________PG5" localSheetId="51">'[5]Financial Estimates'!$A$271:$D$342</definedName>
    <definedName name="_________PG5">'[5]Financial Estimates'!$A$271:$D$342</definedName>
    <definedName name="_________pg6" localSheetId="51">'[6]Financial Estimates'!$A$271:$D$342</definedName>
    <definedName name="_________pg6">'[6]Financial Estimates'!$A$271:$D$342</definedName>
    <definedName name="_________pg7" localSheetId="51">'[6]Financial Estimates'!#REF!</definedName>
    <definedName name="_________pg7">'[6]Financial Estimates'!#REF!</definedName>
    <definedName name="_________XL__ENTER_UNIT" localSheetId="51">#REF!</definedName>
    <definedName name="_________XL__ENTER_UNIT">#REF!</definedName>
    <definedName name="_________za1" localSheetId="51">#REF!</definedName>
    <definedName name="_________za1">#REF!</definedName>
    <definedName name="_________zz1" localSheetId="51">#REF!</definedName>
    <definedName name="_________zz1">#REF!</definedName>
    <definedName name="________BSD1">#REF!</definedName>
    <definedName name="________BSD2">#REF!</definedName>
    <definedName name="________D87840" localSheetId="51">#REF!</definedName>
    <definedName name="________D87840">#REF!</definedName>
    <definedName name="________DAT1" localSheetId="51">#REF!</definedName>
    <definedName name="________DAT1">#REF!</definedName>
    <definedName name="________DAT10" localSheetId="51">#REF!</definedName>
    <definedName name="________DAT10">#REF!</definedName>
    <definedName name="________DAT11" localSheetId="51">#REF!</definedName>
    <definedName name="________DAT11">#REF!</definedName>
    <definedName name="________DAT12" localSheetId="51">'[8]ins spares'!#REF!</definedName>
    <definedName name="________DAT12">'[8]ins spares'!#REF!</definedName>
    <definedName name="________DAT13" localSheetId="51">'[8]ins spares'!#REF!</definedName>
    <definedName name="________DAT13">'[8]ins spares'!#REF!</definedName>
    <definedName name="________DAT15" localSheetId="51">'[8]ins spares'!#REF!</definedName>
    <definedName name="________DAT15">'[8]ins spares'!#REF!</definedName>
    <definedName name="________DAT16" localSheetId="51">'[8]ins spares'!#REF!</definedName>
    <definedName name="________DAT16">'[8]ins spares'!#REF!</definedName>
    <definedName name="________DAT18" localSheetId="51">'[8]ins spares'!#REF!</definedName>
    <definedName name="________DAT18">'[8]ins spares'!#REF!</definedName>
    <definedName name="________DAT19" localSheetId="51">'[8]ins spares'!#REF!</definedName>
    <definedName name="________DAT19">'[8]ins spares'!#REF!</definedName>
    <definedName name="________DAT2" localSheetId="51">#REF!</definedName>
    <definedName name="________DAT2">#REF!</definedName>
    <definedName name="________DAT20" localSheetId="51">'[8]ins spares'!#REF!</definedName>
    <definedName name="________DAT20">'[8]ins spares'!#REF!</definedName>
    <definedName name="________DAT21" localSheetId="51">'[8]ins spares'!#REF!</definedName>
    <definedName name="________DAT21">'[8]ins spares'!#REF!</definedName>
    <definedName name="________DAT22" localSheetId="51">'[8]ins spares'!#REF!</definedName>
    <definedName name="________DAT22">'[8]ins spares'!#REF!</definedName>
    <definedName name="________DAT23" localSheetId="51">'[8]ins spares'!#REF!</definedName>
    <definedName name="________DAT23">'[8]ins spares'!#REF!</definedName>
    <definedName name="________DAT24" localSheetId="51">'[8]ins spares'!#REF!</definedName>
    <definedName name="________DAT24">'[8]ins spares'!#REF!</definedName>
    <definedName name="________DAT3" localSheetId="51">#REF!</definedName>
    <definedName name="________DAT3">#REF!</definedName>
    <definedName name="________DAT4" localSheetId="51">#REF!</definedName>
    <definedName name="________DAT4">#REF!</definedName>
    <definedName name="________DAT5" localSheetId="51">#REF!</definedName>
    <definedName name="________DAT5">#REF!</definedName>
    <definedName name="________DAT6" localSheetId="51">#REF!</definedName>
    <definedName name="________DAT6">#REF!</definedName>
    <definedName name="________DAT7" localSheetId="51">#REF!</definedName>
    <definedName name="________DAT7">#REF!</definedName>
    <definedName name="________DAT8" localSheetId="51">#REF!</definedName>
    <definedName name="________DAT8">#REF!</definedName>
    <definedName name="________DAT9" localSheetId="51">#REF!</definedName>
    <definedName name="________DAT9">#REF!</definedName>
    <definedName name="________G87634" localSheetId="51">#REF!</definedName>
    <definedName name="________G87634">#REF!</definedName>
    <definedName name="________IED1">#REF!</definedName>
    <definedName name="________IED2">#REF!</definedName>
    <definedName name="________PG1" localSheetId="51">'[5]Financial Estimates'!$A$7:$B$108</definedName>
    <definedName name="________PG1">'[5]Financial Estimates'!$A$7:$B$108</definedName>
    <definedName name="________PG2" localSheetId="51">#REF!</definedName>
    <definedName name="________PG2">#REF!</definedName>
    <definedName name="________PG3" localSheetId="51">#REF!</definedName>
    <definedName name="________PG3">#REF!</definedName>
    <definedName name="________PG5" localSheetId="51">'[5]Financial Estimates'!$A$271:$D$342</definedName>
    <definedName name="________PG5">'[5]Financial Estimates'!$A$271:$D$342</definedName>
    <definedName name="________pg6" localSheetId="51">'[6]Financial Estimates'!$A$271:$D$342</definedName>
    <definedName name="________pg6">'[6]Financial Estimates'!$A$271:$D$342</definedName>
    <definedName name="________pg7" localSheetId="51">'[6]Financial Estimates'!#REF!</definedName>
    <definedName name="________pg7">'[6]Financial Estimates'!#REF!</definedName>
    <definedName name="________SCH6">'[16]04REL'!#REF!</definedName>
    <definedName name="________za1" localSheetId="51">#REF!</definedName>
    <definedName name="________za1">#REF!</definedName>
    <definedName name="________zz1" localSheetId="51">#REF!</definedName>
    <definedName name="________zz1">#REF!</definedName>
    <definedName name="_______BSD1">#REF!</definedName>
    <definedName name="_______BSD2">#REF!</definedName>
    <definedName name="_______D87840" localSheetId="51">#REF!</definedName>
    <definedName name="_______D87840">#REF!</definedName>
    <definedName name="_______DAT1" localSheetId="51">#REF!</definedName>
    <definedName name="_______DAT1">#REF!</definedName>
    <definedName name="_______DAT10" localSheetId="51">#REF!</definedName>
    <definedName name="_______DAT10">#REF!</definedName>
    <definedName name="_______DAT11" localSheetId="51">#REF!</definedName>
    <definedName name="_______DAT11">#REF!</definedName>
    <definedName name="_______DAT12" localSheetId="51">'[8]ins spares'!#REF!</definedName>
    <definedName name="_______DAT12">'[8]ins spares'!#REF!</definedName>
    <definedName name="_______DAT13" localSheetId="51">'[8]ins spares'!#REF!</definedName>
    <definedName name="_______DAT13">'[8]ins spares'!#REF!</definedName>
    <definedName name="_______DAT15" localSheetId="51">'[8]ins spares'!#REF!</definedName>
    <definedName name="_______DAT15">'[8]ins spares'!#REF!</definedName>
    <definedName name="_______DAT16" localSheetId="51">'[8]ins spares'!#REF!</definedName>
    <definedName name="_______DAT16">'[8]ins spares'!#REF!</definedName>
    <definedName name="_______DAT18" localSheetId="51">'[8]ins spares'!#REF!</definedName>
    <definedName name="_______DAT18">'[8]ins spares'!#REF!</definedName>
    <definedName name="_______DAT19" localSheetId="51">'[8]ins spares'!#REF!</definedName>
    <definedName name="_______DAT19">'[8]ins spares'!#REF!</definedName>
    <definedName name="_______DAT2" localSheetId="51">#REF!</definedName>
    <definedName name="_______DAT2">#REF!</definedName>
    <definedName name="_______DAT20" localSheetId="51">'[8]ins spares'!#REF!</definedName>
    <definedName name="_______DAT20">'[8]ins spares'!#REF!</definedName>
    <definedName name="_______DAT21" localSheetId="51">'[8]ins spares'!#REF!</definedName>
    <definedName name="_______DAT21">'[8]ins spares'!#REF!</definedName>
    <definedName name="_______DAT22" localSheetId="51">'[8]ins spares'!#REF!</definedName>
    <definedName name="_______DAT22">'[8]ins spares'!#REF!</definedName>
    <definedName name="_______DAT23" localSheetId="51">'[8]ins spares'!#REF!</definedName>
    <definedName name="_______DAT23">'[8]ins spares'!#REF!</definedName>
    <definedName name="_______DAT24" localSheetId="51">'[8]ins spares'!#REF!</definedName>
    <definedName name="_______DAT24">'[8]ins spares'!#REF!</definedName>
    <definedName name="_______DAT3" localSheetId="51">#REF!</definedName>
    <definedName name="_______DAT3">#REF!</definedName>
    <definedName name="_______DAT4" localSheetId="51">#REF!</definedName>
    <definedName name="_______DAT4">#REF!</definedName>
    <definedName name="_______DAT5" localSheetId="51">#REF!</definedName>
    <definedName name="_______DAT5">#REF!</definedName>
    <definedName name="_______DAT6" localSheetId="51">#REF!</definedName>
    <definedName name="_______DAT6">#REF!</definedName>
    <definedName name="_______DAT7" localSheetId="51">#REF!</definedName>
    <definedName name="_______DAT7">#REF!</definedName>
    <definedName name="_______DAT8" localSheetId="51">#REF!</definedName>
    <definedName name="_______DAT8">#REF!</definedName>
    <definedName name="_______DAT9" localSheetId="51">#REF!</definedName>
    <definedName name="_______DAT9">#REF!</definedName>
    <definedName name="_______G87634" localSheetId="51">#REF!</definedName>
    <definedName name="_______G87634">#REF!</definedName>
    <definedName name="_______IED1">#REF!</definedName>
    <definedName name="_______IED2">#REF!</definedName>
    <definedName name="_______PG1" localSheetId="51">'[5]Financial Estimates'!$A$7:$B$108</definedName>
    <definedName name="_______PG1">'[5]Financial Estimates'!$A$7:$B$108</definedName>
    <definedName name="_______PG2" localSheetId="51">#REF!</definedName>
    <definedName name="_______PG2">#REF!</definedName>
    <definedName name="_______PG3" localSheetId="51">#REF!</definedName>
    <definedName name="_______PG3">#REF!</definedName>
    <definedName name="_______PG5" localSheetId="51">'[5]Financial Estimates'!$A$271:$D$342</definedName>
    <definedName name="_______PG5">'[5]Financial Estimates'!$A$271:$D$342</definedName>
    <definedName name="_______pg6" localSheetId="51">'[6]Financial Estimates'!$A$271:$D$342</definedName>
    <definedName name="_______pg6">'[6]Financial Estimates'!$A$271:$D$342</definedName>
    <definedName name="_______pg7" localSheetId="51">'[6]Financial Estimates'!#REF!</definedName>
    <definedName name="_______pg7">'[6]Financial Estimates'!#REF!</definedName>
    <definedName name="_______SCH6" localSheetId="51">'[17]04REL'!#REF!</definedName>
    <definedName name="_______SCH6">'[16]04REL'!#REF!</definedName>
    <definedName name="_______XL__ENTER_UNIT" localSheetId="51">#REF!</definedName>
    <definedName name="_______XL__ENTER_UNIT">#REF!</definedName>
    <definedName name="_______za1" localSheetId="51">#REF!</definedName>
    <definedName name="_______za1">#REF!</definedName>
    <definedName name="_______zz1" localSheetId="51">#REF!</definedName>
    <definedName name="_______zz1">#REF!</definedName>
    <definedName name="______as3">[18]BEST_17112006!$C$20</definedName>
    <definedName name="______BSD1">#REF!</definedName>
    <definedName name="______BSD2">#REF!</definedName>
    <definedName name="______D87840" localSheetId="51">#REF!</definedName>
    <definedName name="______D87840">#REF!</definedName>
    <definedName name="______DAT1" localSheetId="51">#REF!</definedName>
    <definedName name="______DAT1">#REF!</definedName>
    <definedName name="______DAT10" localSheetId="51">#REF!</definedName>
    <definedName name="______DAT10">#REF!</definedName>
    <definedName name="______DAT11" localSheetId="51">#REF!</definedName>
    <definedName name="______DAT11">#REF!</definedName>
    <definedName name="______DAT12" localSheetId="51">'[8]ins spares'!#REF!</definedName>
    <definedName name="______DAT12">'[8]ins spares'!#REF!</definedName>
    <definedName name="______DAT13" localSheetId="51">'[8]ins spares'!#REF!</definedName>
    <definedName name="______DAT13">'[8]ins spares'!#REF!</definedName>
    <definedName name="______DAT15" localSheetId="51">'[8]ins spares'!#REF!</definedName>
    <definedName name="______DAT15">'[8]ins spares'!#REF!</definedName>
    <definedName name="______DAT16" localSheetId="51">'[8]ins spares'!#REF!</definedName>
    <definedName name="______DAT16">'[8]ins spares'!#REF!</definedName>
    <definedName name="______DAT18" localSheetId="51">'[8]ins spares'!#REF!</definedName>
    <definedName name="______DAT18">'[8]ins spares'!#REF!</definedName>
    <definedName name="______DAT19" localSheetId="51">'[8]ins spares'!#REF!</definedName>
    <definedName name="______DAT19">'[8]ins spares'!#REF!</definedName>
    <definedName name="______DAT2" localSheetId="51">#REF!</definedName>
    <definedName name="______DAT2">#REF!</definedName>
    <definedName name="______DAT20" localSheetId="51">'[8]ins spares'!#REF!</definedName>
    <definedName name="______DAT20">'[8]ins spares'!#REF!</definedName>
    <definedName name="______DAT21" localSheetId="51">'[8]ins spares'!#REF!</definedName>
    <definedName name="______DAT21">'[8]ins spares'!#REF!</definedName>
    <definedName name="______DAT22" localSheetId="51">'[8]ins spares'!#REF!</definedName>
    <definedName name="______DAT22">'[8]ins spares'!#REF!</definedName>
    <definedName name="______DAT23" localSheetId="51">'[8]ins spares'!#REF!</definedName>
    <definedName name="______DAT23">'[8]ins spares'!#REF!</definedName>
    <definedName name="______DAT24" localSheetId="51">'[8]ins spares'!#REF!</definedName>
    <definedName name="______DAT24">'[8]ins spares'!#REF!</definedName>
    <definedName name="______DAT3" localSheetId="51">#REF!</definedName>
    <definedName name="______DAT3">#REF!</definedName>
    <definedName name="______DAT4" localSheetId="51">#REF!</definedName>
    <definedName name="______DAT4">#REF!</definedName>
    <definedName name="______DAT5" localSheetId="51">#REF!</definedName>
    <definedName name="______DAT5">#REF!</definedName>
    <definedName name="______DAT6" localSheetId="51">#REF!</definedName>
    <definedName name="______DAT6">#REF!</definedName>
    <definedName name="______DAT7" localSheetId="51">#REF!</definedName>
    <definedName name="______DAT7">#REF!</definedName>
    <definedName name="______DAT8" localSheetId="51">#REF!</definedName>
    <definedName name="______DAT8">#REF!</definedName>
    <definedName name="______DAT9" localSheetId="51">#REF!</definedName>
    <definedName name="______DAT9">#REF!</definedName>
    <definedName name="______G87634" localSheetId="51">#REF!</definedName>
    <definedName name="______G87634">#REF!</definedName>
    <definedName name="______IED1">#REF!</definedName>
    <definedName name="______IED2">#REF!</definedName>
    <definedName name="______PG1" localSheetId="51">'[5]Financial Estimates'!$A$7:$B$108</definedName>
    <definedName name="______PG1">'[5]Financial Estimates'!$A$7:$B$108</definedName>
    <definedName name="______PG2" localSheetId="51">#REF!</definedName>
    <definedName name="______PG2">#REF!</definedName>
    <definedName name="______PG3" localSheetId="51">#REF!</definedName>
    <definedName name="______PG3">#REF!</definedName>
    <definedName name="______PG5" localSheetId="51">'[5]Financial Estimates'!$A$271:$D$342</definedName>
    <definedName name="______PG5">'[5]Financial Estimates'!$A$271:$D$342</definedName>
    <definedName name="______pg6" localSheetId="51">'[6]Financial Estimates'!$A$271:$D$342</definedName>
    <definedName name="______pg6">'[6]Financial Estimates'!$A$271:$D$342</definedName>
    <definedName name="______pg7" localSheetId="51">'[6]Financial Estimates'!#REF!</definedName>
    <definedName name="______pg7">'[6]Financial Estimates'!#REF!</definedName>
    <definedName name="______SCH6" localSheetId="51">'[16]04REL'!#REF!</definedName>
    <definedName name="______SCH6">'[16]04REL'!#REF!</definedName>
    <definedName name="______XL__ENTER_UNIT" localSheetId="51">#REF!</definedName>
    <definedName name="______XL__ENTER_UNIT">#REF!</definedName>
    <definedName name="______za1" localSheetId="51">#REF!</definedName>
    <definedName name="______za1">#REF!</definedName>
    <definedName name="______zz1" localSheetId="51">#REF!</definedName>
    <definedName name="______zz1">#REF!</definedName>
    <definedName name="_____as3">[18]BEST_17112006!$C$20</definedName>
    <definedName name="_____BSD1">#REF!</definedName>
    <definedName name="_____BSD2">#REF!</definedName>
    <definedName name="_____D87840" localSheetId="51">#REF!</definedName>
    <definedName name="_____D87840">#REF!</definedName>
    <definedName name="_____DAT1" localSheetId="51">#REF!</definedName>
    <definedName name="_____DAT1">#REF!</definedName>
    <definedName name="_____DAT10" localSheetId="51">#REF!</definedName>
    <definedName name="_____DAT10">#REF!</definedName>
    <definedName name="_____DAT11" localSheetId="51">#REF!</definedName>
    <definedName name="_____DAT11">#REF!</definedName>
    <definedName name="_____DAT12" localSheetId="51">'[8]ins spares'!#REF!</definedName>
    <definedName name="_____DAT12">'[8]ins spares'!#REF!</definedName>
    <definedName name="_____DAT13" localSheetId="51">'[8]ins spares'!#REF!</definedName>
    <definedName name="_____DAT13">'[8]ins spares'!#REF!</definedName>
    <definedName name="_____DAT15" localSheetId="51">'[8]ins spares'!#REF!</definedName>
    <definedName name="_____DAT15">'[8]ins spares'!#REF!</definedName>
    <definedName name="_____DAT16" localSheetId="51">'[8]ins spares'!#REF!</definedName>
    <definedName name="_____DAT16">'[8]ins spares'!#REF!</definedName>
    <definedName name="_____DAT18" localSheetId="51">'[8]ins spares'!#REF!</definedName>
    <definedName name="_____DAT18">'[8]ins spares'!#REF!</definedName>
    <definedName name="_____DAT19" localSheetId="51">'[8]ins spares'!#REF!</definedName>
    <definedName name="_____DAT19">'[8]ins spares'!#REF!</definedName>
    <definedName name="_____DAT2" localSheetId="51">#REF!</definedName>
    <definedName name="_____DAT2">#REF!</definedName>
    <definedName name="_____DAT20" localSheetId="51">'[8]ins spares'!#REF!</definedName>
    <definedName name="_____DAT20">'[8]ins spares'!#REF!</definedName>
    <definedName name="_____DAT21" localSheetId="51">'[8]ins spares'!#REF!</definedName>
    <definedName name="_____DAT21">'[8]ins spares'!#REF!</definedName>
    <definedName name="_____DAT22" localSheetId="51">'[8]ins spares'!#REF!</definedName>
    <definedName name="_____DAT22">'[8]ins spares'!#REF!</definedName>
    <definedName name="_____DAT23" localSheetId="51">'[8]ins spares'!#REF!</definedName>
    <definedName name="_____DAT23">'[8]ins spares'!#REF!</definedName>
    <definedName name="_____DAT24" localSheetId="51">'[8]ins spares'!#REF!</definedName>
    <definedName name="_____DAT24">'[8]ins spares'!#REF!</definedName>
    <definedName name="_____DAT3" localSheetId="51">#REF!</definedName>
    <definedName name="_____DAT3">#REF!</definedName>
    <definedName name="_____DAT4" localSheetId="51">#REF!</definedName>
    <definedName name="_____DAT4">#REF!</definedName>
    <definedName name="_____DAT5" localSheetId="51">#REF!</definedName>
    <definedName name="_____DAT5">#REF!</definedName>
    <definedName name="_____DAT6" localSheetId="51">#REF!</definedName>
    <definedName name="_____DAT6">#REF!</definedName>
    <definedName name="_____DAT7" localSheetId="51">#REF!</definedName>
    <definedName name="_____DAT7">#REF!</definedName>
    <definedName name="_____DAT8" localSheetId="51">#REF!</definedName>
    <definedName name="_____DAT8">#REF!</definedName>
    <definedName name="_____DAT9" localSheetId="51">#REF!</definedName>
    <definedName name="_____DAT9">#REF!</definedName>
    <definedName name="_____G87634" localSheetId="51">#REF!</definedName>
    <definedName name="_____G87634">#REF!</definedName>
    <definedName name="_____IED1">#REF!</definedName>
    <definedName name="_____IED2">#REF!</definedName>
    <definedName name="_____PG1" localSheetId="51">'[5]Financial Estimates'!$A$7:$B$108</definedName>
    <definedName name="_____PG1">'[5]Financial Estimates'!$A$7:$B$108</definedName>
    <definedName name="_____PG2" localSheetId="51">#REF!</definedName>
    <definedName name="_____PG2">#REF!</definedName>
    <definedName name="_____PG3" localSheetId="51">#REF!</definedName>
    <definedName name="_____PG3">#REF!</definedName>
    <definedName name="_____PG5" localSheetId="51">'[5]Financial Estimates'!$A$271:$D$342</definedName>
    <definedName name="_____PG5">'[5]Financial Estimates'!$A$271:$D$342</definedName>
    <definedName name="_____pg6" localSheetId="51">'[6]Financial Estimates'!$A$271:$D$342</definedName>
    <definedName name="_____pg6">'[6]Financial Estimates'!$A$271:$D$342</definedName>
    <definedName name="_____pg7" localSheetId="51">'[6]Financial Estimates'!#REF!</definedName>
    <definedName name="_____pg7">'[6]Financial Estimates'!#REF!</definedName>
    <definedName name="_____SCH6" localSheetId="51">'[17]04REL'!#REF!</definedName>
    <definedName name="_____SCH6">'[16]04REL'!#REF!</definedName>
    <definedName name="_____za1" localSheetId="51">#REF!</definedName>
    <definedName name="_____za1">#REF!</definedName>
    <definedName name="_____zz1" localSheetId="51">#REF!</definedName>
    <definedName name="_____zz1">#REF!</definedName>
    <definedName name="____as3">[18]BEST_17112006!$C$20</definedName>
    <definedName name="____BSD1">#REF!</definedName>
    <definedName name="____BSD2">#REF!</definedName>
    <definedName name="____D87840" localSheetId="51">#REF!</definedName>
    <definedName name="____D87840">#REF!</definedName>
    <definedName name="____DAT1" localSheetId="51">#REF!</definedName>
    <definedName name="____DAT1">#REF!</definedName>
    <definedName name="____DAT10" localSheetId="51">#REF!</definedName>
    <definedName name="____DAT10">#REF!</definedName>
    <definedName name="____DAT11" localSheetId="51">#REF!</definedName>
    <definedName name="____DAT11">#REF!</definedName>
    <definedName name="____DAT12" localSheetId="51">'[8]ins spares'!#REF!</definedName>
    <definedName name="____DAT12">'[8]ins spares'!#REF!</definedName>
    <definedName name="____DAT13" localSheetId="51">'[8]ins spares'!#REF!</definedName>
    <definedName name="____DAT13">'[8]ins spares'!#REF!</definedName>
    <definedName name="____DAT15" localSheetId="51">'[8]ins spares'!#REF!</definedName>
    <definedName name="____DAT15">'[8]ins spares'!#REF!</definedName>
    <definedName name="____DAT16" localSheetId="51">'[8]ins spares'!#REF!</definedName>
    <definedName name="____DAT16">'[8]ins spares'!#REF!</definedName>
    <definedName name="____DAT18" localSheetId="51">'[8]ins spares'!#REF!</definedName>
    <definedName name="____DAT18">'[8]ins spares'!#REF!</definedName>
    <definedName name="____DAT19" localSheetId="51">'[8]ins spares'!#REF!</definedName>
    <definedName name="____DAT19">'[8]ins spares'!#REF!</definedName>
    <definedName name="____DAT2" localSheetId="51">#REF!</definedName>
    <definedName name="____DAT2">#REF!</definedName>
    <definedName name="____DAT20" localSheetId="51">'[8]ins spares'!#REF!</definedName>
    <definedName name="____DAT20">'[8]ins spares'!#REF!</definedName>
    <definedName name="____DAT21" localSheetId="51">'[8]ins spares'!#REF!</definedName>
    <definedName name="____DAT21">'[8]ins spares'!#REF!</definedName>
    <definedName name="____DAT22" localSheetId="51">'[8]ins spares'!#REF!</definedName>
    <definedName name="____DAT22">'[8]ins spares'!#REF!</definedName>
    <definedName name="____DAT23" localSheetId="51">'[8]ins spares'!#REF!</definedName>
    <definedName name="____DAT23">'[8]ins spares'!#REF!</definedName>
    <definedName name="____DAT24" localSheetId="51">'[8]ins spares'!#REF!</definedName>
    <definedName name="____DAT24">'[8]ins spares'!#REF!</definedName>
    <definedName name="____DAT3" localSheetId="51">#REF!</definedName>
    <definedName name="____DAT3">#REF!</definedName>
    <definedName name="____DAT4" localSheetId="51">#REF!</definedName>
    <definedName name="____DAT4">#REF!</definedName>
    <definedName name="____DAT5" localSheetId="51">#REF!</definedName>
    <definedName name="____DAT5">#REF!</definedName>
    <definedName name="____DAT6" localSheetId="51">#REF!</definedName>
    <definedName name="____DAT6">#REF!</definedName>
    <definedName name="____DAT7" localSheetId="51">#REF!</definedName>
    <definedName name="____DAT7">#REF!</definedName>
    <definedName name="____DAT8" localSheetId="51">#REF!</definedName>
    <definedName name="____DAT8">#REF!</definedName>
    <definedName name="____DAT9" localSheetId="51">#REF!</definedName>
    <definedName name="____DAT9">#REF!</definedName>
    <definedName name="____ELL45" localSheetId="51">#REF!</definedName>
    <definedName name="____ELL45">#REF!</definedName>
    <definedName name="____ELL90" localSheetId="51">#REF!</definedName>
    <definedName name="____ELL90">#REF!</definedName>
    <definedName name="____EMP4">#N/A</definedName>
    <definedName name="____FFr98">'[19]#REF'!$F$29</definedName>
    <definedName name="____FFr99">'[19]#REF'!$G$29</definedName>
    <definedName name="____FRF2" localSheetId="51">#REF!</definedName>
    <definedName name="____FRF2">#REF!</definedName>
    <definedName name="____G87634" localSheetId="51">#REF!</definedName>
    <definedName name="____G87634">#REF!</definedName>
    <definedName name="____IED1">#REF!</definedName>
    <definedName name="____IED2">#REF!</definedName>
    <definedName name="____K5" localSheetId="51">#REF!</definedName>
    <definedName name="____K5">#REF!</definedName>
    <definedName name="____K6" localSheetId="51">#REF!</definedName>
    <definedName name="____K6">#REF!</definedName>
    <definedName name="____KD10">[20]현장지지물물량!$A$8:$N$196</definedName>
    <definedName name="____KD11" localSheetId="51">[20]현장지지물물량!$1:$7</definedName>
    <definedName name="____KD11">[20]현장지지물물량!$A$1:$IV$7</definedName>
    <definedName name="____KD12">[20]현장지지물물량!$A$8:$N$196</definedName>
    <definedName name="____KD13" localSheetId="51">[20]현장지지물물량!$1:$7</definedName>
    <definedName name="____KD13">[20]현장지지물물량!$A$1:$IV$7</definedName>
    <definedName name="____KD14">[21]현장지지물물량!$A$9:$N$23</definedName>
    <definedName name="____KD15">[22]현장지지물물량!$A$9:$N$23</definedName>
    <definedName name="____KD16" localSheetId="51">[22]현장지지물물량!$1:$8</definedName>
    <definedName name="____KD16">[22]현장지지물물량!$A$1:$IV$8</definedName>
    <definedName name="____KD18">[22]현장지지물물량!$A$9:$N$23</definedName>
    <definedName name="____KD2" localSheetId="51" hidden="1">#REF!</definedName>
    <definedName name="____KD2" hidden="1">#REF!</definedName>
    <definedName name="____KD3" localSheetId="51" hidden="1">#REF!</definedName>
    <definedName name="____KD3" hidden="1">#REF!</definedName>
    <definedName name="____KD4">[20]현장지지물물량!$A$8:$N$196</definedName>
    <definedName name="____KD5" localSheetId="51">[22]현장지지물물량!$1:$8</definedName>
    <definedName name="____KD5">[22]현장지지물물량!$A$1:$IV$8</definedName>
    <definedName name="____KD6" localSheetId="51">[22]현장지지물물량!$1:$8</definedName>
    <definedName name="____KD6">[22]현장지지물물량!$A$1:$IV$8</definedName>
    <definedName name="____KD7">[22]현장지지물물량!$A$9:$N$23</definedName>
    <definedName name="____KD8">'[23]설산1.나'!$A$8:$J$53</definedName>
    <definedName name="____KD9">[23]본사S!$B$10:$P$103</definedName>
    <definedName name="____LL3" localSheetId="51">#REF!</definedName>
    <definedName name="____LL3">#REF!</definedName>
    <definedName name="____LL4" localSheetId="51">#REF!</definedName>
    <definedName name="____LL4">#REF!</definedName>
    <definedName name="____LL5" localSheetId="51">#REF!</definedName>
    <definedName name="____LL5">#REF!</definedName>
    <definedName name="____nh1" localSheetId="51">'[24]Fixed Charge'!#REF!</definedName>
    <definedName name="____nh1">'[24]Fixed Charge'!#REF!</definedName>
    <definedName name="____p2" localSheetId="51">#REF!</definedName>
    <definedName name="____p2">#REF!</definedName>
    <definedName name="____P21" localSheetId="51">#REF!</definedName>
    <definedName name="____P21">#REF!</definedName>
    <definedName name="____P22" localSheetId="51">#REF!</definedName>
    <definedName name="____P22">#REF!</definedName>
    <definedName name="____p3" localSheetId="51">#REF!</definedName>
    <definedName name="____p3">#REF!</definedName>
    <definedName name="____P31" localSheetId="51">#REF!</definedName>
    <definedName name="____P31">#REF!</definedName>
    <definedName name="____P32" localSheetId="51">#REF!</definedName>
    <definedName name="____P32">#REF!</definedName>
    <definedName name="____P33" localSheetId="51">#REF!</definedName>
    <definedName name="____P33">#REF!</definedName>
    <definedName name="____P34" localSheetId="51">#REF!</definedName>
    <definedName name="____P34">#REF!</definedName>
    <definedName name="____PG1" localSheetId="51">'[5]Financial Estimates'!$A$7:$B$108</definedName>
    <definedName name="____PG1">'[5]Financial Estimates'!$A$7:$B$108</definedName>
    <definedName name="____PG2" localSheetId="51">#REF!</definedName>
    <definedName name="____PG2">#REF!</definedName>
    <definedName name="____PG3" localSheetId="51">#REF!</definedName>
    <definedName name="____PG3">#REF!</definedName>
    <definedName name="____PG5" localSheetId="51">'[5]Financial Estimates'!$A$271:$D$342</definedName>
    <definedName name="____PG5">'[5]Financial Estimates'!$A$271:$D$342</definedName>
    <definedName name="____pg6" localSheetId="51">'[6]Financial Estimates'!$A$271:$D$342</definedName>
    <definedName name="____pg6">'[6]Financial Estimates'!$A$271:$D$342</definedName>
    <definedName name="____pg7" localSheetId="51">'[6]Financial Estimates'!#REF!</definedName>
    <definedName name="____pg7">'[6]Financial Estimates'!#REF!</definedName>
    <definedName name="____RE100" localSheetId="51">#REF!</definedName>
    <definedName name="____RE100">#REF!</definedName>
    <definedName name="____RE104" localSheetId="51">#REF!</definedName>
    <definedName name="____RE104">#REF!</definedName>
    <definedName name="____RE112" localSheetId="51">#REF!</definedName>
    <definedName name="____RE112">#REF!</definedName>
    <definedName name="____RE26" localSheetId="51">#REF!</definedName>
    <definedName name="____RE26">#REF!</definedName>
    <definedName name="____RE28" localSheetId="51">#REF!</definedName>
    <definedName name="____RE28">#REF!</definedName>
    <definedName name="____RE30" localSheetId="51">#REF!</definedName>
    <definedName name="____RE30">#REF!</definedName>
    <definedName name="____RE32" localSheetId="51">#REF!</definedName>
    <definedName name="____RE32">#REF!</definedName>
    <definedName name="____RE34" localSheetId="51">#REF!</definedName>
    <definedName name="____RE34">#REF!</definedName>
    <definedName name="____RE36" localSheetId="51">#REF!</definedName>
    <definedName name="____RE36">#REF!</definedName>
    <definedName name="____RE38" localSheetId="51">#REF!</definedName>
    <definedName name="____RE38">#REF!</definedName>
    <definedName name="____RE40" localSheetId="51">#REF!</definedName>
    <definedName name="____RE40">#REF!</definedName>
    <definedName name="____RE42" localSheetId="51">#REF!</definedName>
    <definedName name="____RE42">#REF!</definedName>
    <definedName name="____RE44" localSheetId="51">#REF!</definedName>
    <definedName name="____RE44">#REF!</definedName>
    <definedName name="____RE48" localSheetId="51">#REF!</definedName>
    <definedName name="____RE48">#REF!</definedName>
    <definedName name="____RE52" localSheetId="51">#REF!</definedName>
    <definedName name="____RE52">#REF!</definedName>
    <definedName name="____RE56" localSheetId="51">#REF!</definedName>
    <definedName name="____RE56">#REF!</definedName>
    <definedName name="____RE60" localSheetId="51">#REF!</definedName>
    <definedName name="____RE60">#REF!</definedName>
    <definedName name="____RE64" localSheetId="51">#REF!</definedName>
    <definedName name="____RE64">#REF!</definedName>
    <definedName name="____RE68" localSheetId="51">#REF!</definedName>
    <definedName name="____RE68">#REF!</definedName>
    <definedName name="____RE72" localSheetId="51">#REF!</definedName>
    <definedName name="____RE72">#REF!</definedName>
    <definedName name="____RE76" localSheetId="51">#REF!</definedName>
    <definedName name="____RE76">#REF!</definedName>
    <definedName name="____RE80" localSheetId="51">#REF!</definedName>
    <definedName name="____RE80">#REF!</definedName>
    <definedName name="____RE88" localSheetId="51">#REF!</definedName>
    <definedName name="____RE88">#REF!</definedName>
    <definedName name="____RE92" localSheetId="51">#REF!</definedName>
    <definedName name="____RE92">#REF!</definedName>
    <definedName name="____RE96" localSheetId="51">#REF!</definedName>
    <definedName name="____RE96">#REF!</definedName>
    <definedName name="____RR12" localSheetId="51">#REF!</definedName>
    <definedName name="____RR12">#REF!</definedName>
    <definedName name="____RR13" localSheetId="51">#REF!</definedName>
    <definedName name="____RR13">#REF!</definedName>
    <definedName name="____RR14" localSheetId="51">#REF!</definedName>
    <definedName name="____RR14">#REF!</definedName>
    <definedName name="____RR15" localSheetId="51">#REF!</definedName>
    <definedName name="____RR15">#REF!</definedName>
    <definedName name="____SCH6" localSheetId="51">'[16]04REL'!#REF!</definedName>
    <definedName name="____SCH6">'[16]04REL'!#REF!</definedName>
    <definedName name="____w123" localSheetId="52" hidden="1">{"Edition",#N/A,FALSE,"Data"}</definedName>
    <definedName name="____w123" localSheetId="51" hidden="1">{"Edition",#N/A,FALSE,"Data"}</definedName>
    <definedName name="____w123" localSheetId="1" hidden="1">{"Edition",#N/A,FALSE,"Data"}</definedName>
    <definedName name="____w123" hidden="1">{"Edition",#N/A,FALSE,"Data"}</definedName>
    <definedName name="____XL__ENTER_UNIT" localSheetId="51">#REF!</definedName>
    <definedName name="____XL__ENTER_UNIT">#REF!</definedName>
    <definedName name="____xlfn.BAHTTEXT" hidden="1">#NAME?</definedName>
    <definedName name="____za1" localSheetId="51">#REF!</definedName>
    <definedName name="____za1">#REF!</definedName>
    <definedName name="____zz1" localSheetId="51">#REF!</definedName>
    <definedName name="____zz1">#REF!</definedName>
    <definedName name="___a3" localSheetId="51">[25]Summary!___a3</definedName>
    <definedName name="___a3">[25]Summary!___a3</definedName>
    <definedName name="___AOC2" localSheetId="51">#REF!</definedName>
    <definedName name="___AOC2">#REF!</definedName>
    <definedName name="___as3">[18]BEST_17112006!$C$20</definedName>
    <definedName name="___BBQ1" localSheetId="58">[26]!_xlbgnm.BBQ1</definedName>
    <definedName name="___BBQ1" localSheetId="59">[26]!_xlbgnm.BBQ1</definedName>
    <definedName name="___BBQ1">[26]!_xlbgnm.BBQ1</definedName>
    <definedName name="___BSD1">#REF!</definedName>
    <definedName name="___BSD2">#REF!</definedName>
    <definedName name="___CO1" localSheetId="51">#REF!</definedName>
    <definedName name="___CO1">#REF!</definedName>
    <definedName name="___D87840" localSheetId="51">#REF!</definedName>
    <definedName name="___D87840">#REF!</definedName>
    <definedName name="___DAT1" localSheetId="51">#REF!</definedName>
    <definedName name="___DAT1">#REF!</definedName>
    <definedName name="___DAT10" localSheetId="51">#REF!</definedName>
    <definedName name="___DAT10">#REF!</definedName>
    <definedName name="___DAT11" localSheetId="51">#REF!</definedName>
    <definedName name="___DAT11">#REF!</definedName>
    <definedName name="___DAT12" localSheetId="51">'[8]ins spares'!#REF!</definedName>
    <definedName name="___DAT12">'[8]ins spares'!#REF!</definedName>
    <definedName name="___DAT13" localSheetId="51">'[8]ins spares'!#REF!</definedName>
    <definedName name="___DAT13">'[8]ins spares'!#REF!</definedName>
    <definedName name="___DAT15" localSheetId="51">'[8]ins spares'!#REF!</definedName>
    <definedName name="___DAT15">'[8]ins spares'!#REF!</definedName>
    <definedName name="___DAT16" localSheetId="51">'[8]ins spares'!#REF!</definedName>
    <definedName name="___DAT16">'[8]ins spares'!#REF!</definedName>
    <definedName name="___DAT18" localSheetId="51">'[8]ins spares'!#REF!</definedName>
    <definedName name="___DAT18">'[8]ins spares'!#REF!</definedName>
    <definedName name="___DAT19" localSheetId="51">'[8]ins spares'!#REF!</definedName>
    <definedName name="___DAT19">'[8]ins spares'!#REF!</definedName>
    <definedName name="___DAT2" localSheetId="51">#REF!</definedName>
    <definedName name="___DAT2">#REF!</definedName>
    <definedName name="___DAT20" localSheetId="51">'[8]ins spares'!#REF!</definedName>
    <definedName name="___DAT20">'[8]ins spares'!#REF!</definedName>
    <definedName name="___DAT21" localSheetId="51">'[8]ins spares'!#REF!</definedName>
    <definedName name="___DAT21">'[8]ins spares'!#REF!</definedName>
    <definedName name="___DAT22" localSheetId="51">'[8]ins spares'!#REF!</definedName>
    <definedName name="___DAT22">'[8]ins spares'!#REF!</definedName>
    <definedName name="___DAT23" localSheetId="51">'[8]ins spares'!#REF!</definedName>
    <definedName name="___DAT23">'[8]ins spares'!#REF!</definedName>
    <definedName name="___DAT24" localSheetId="51">'[8]ins spares'!#REF!</definedName>
    <definedName name="___DAT24">'[8]ins spares'!#REF!</definedName>
    <definedName name="___DAT3" localSheetId="51">#REF!</definedName>
    <definedName name="___DAT3">#REF!</definedName>
    <definedName name="___DAT4" localSheetId="51">#REF!</definedName>
    <definedName name="___DAT4">#REF!</definedName>
    <definedName name="___DAT5" localSheetId="51">#REF!</definedName>
    <definedName name="___DAT5">#REF!</definedName>
    <definedName name="___DAT6" localSheetId="51">#REF!</definedName>
    <definedName name="___DAT6">#REF!</definedName>
    <definedName name="___DAT7" localSheetId="51">#REF!</definedName>
    <definedName name="___DAT7">#REF!</definedName>
    <definedName name="___DAT8" localSheetId="51">#REF!</definedName>
    <definedName name="___DAT8">#REF!</definedName>
    <definedName name="___DAT9" localSheetId="51">#REF!</definedName>
    <definedName name="___DAT9">#REF!</definedName>
    <definedName name="___ELL45" localSheetId="51">#REF!</definedName>
    <definedName name="___ELL45">#REF!</definedName>
    <definedName name="___ELL90" localSheetId="51">#REF!</definedName>
    <definedName name="___ELL90">#REF!</definedName>
    <definedName name="___EMP4">#N/A</definedName>
    <definedName name="___f2" localSheetId="51">#REF!</definedName>
    <definedName name="___f2">#REF!</definedName>
    <definedName name="___ffr1" localSheetId="51">#REF!</definedName>
    <definedName name="___ffr1">#REF!</definedName>
    <definedName name="___ffr2">[19]자바라1!$O$10</definedName>
    <definedName name="___FFr98">'[19]#REF'!$F$29</definedName>
    <definedName name="___FFr99">'[19]#REF'!$G$29</definedName>
    <definedName name="___FRF2" localSheetId="51">#REF!</definedName>
    <definedName name="___FRF2">#REF!</definedName>
    <definedName name="___G87634" localSheetId="51">#REF!</definedName>
    <definedName name="___G87634">#REF!</definedName>
    <definedName name="___IED1">#REF!</definedName>
    <definedName name="___IED2">#REF!</definedName>
    <definedName name="___INDEX_SHEET___ASAP_Utilities" localSheetId="51">#REF!</definedName>
    <definedName name="___INDEX_SHEET___ASAP_Utilities">#REF!</definedName>
    <definedName name="___K5" localSheetId="51">#REF!</definedName>
    <definedName name="___K5">#REF!</definedName>
    <definedName name="___K6" localSheetId="51">#REF!</definedName>
    <definedName name="___K6">#REF!</definedName>
    <definedName name="___KD10">[20]현장지지물물량!$A$8:$N$196</definedName>
    <definedName name="___KD11" localSheetId="51">[20]현장지지물물량!$1:$7</definedName>
    <definedName name="___KD11">[20]현장지지물물량!$A$1:$IV$7</definedName>
    <definedName name="___KD12">[20]현장지지물물량!$A$8:$N$196</definedName>
    <definedName name="___KD13" localSheetId="51">[20]현장지지물물량!$1:$7</definedName>
    <definedName name="___KD13">[20]현장지지물물량!$A$1:$IV$7</definedName>
    <definedName name="___KD14">[21]현장지지물물량!$A$9:$N$23</definedName>
    <definedName name="___KD15">[22]현장지지물물량!$A$9:$N$23</definedName>
    <definedName name="___KD16" localSheetId="51">[22]현장지지물물량!$1:$8</definedName>
    <definedName name="___KD16">[22]현장지지물물량!$A$1:$IV$8</definedName>
    <definedName name="___KD18">[22]현장지지물물량!$A$9:$N$23</definedName>
    <definedName name="___KD2" localSheetId="51" hidden="1">#REF!</definedName>
    <definedName name="___KD2" hidden="1">#REF!</definedName>
    <definedName name="___KD3" localSheetId="51" hidden="1">#REF!</definedName>
    <definedName name="___KD3" hidden="1">#REF!</definedName>
    <definedName name="___KD4">[20]현장지지물물량!$A$8:$N$196</definedName>
    <definedName name="___KD5" localSheetId="51">[22]현장지지물물량!$1:$8</definedName>
    <definedName name="___KD5">[22]현장지지물물량!$A$1:$IV$8</definedName>
    <definedName name="___KD6" localSheetId="51">[22]현장지지물물량!$1:$8</definedName>
    <definedName name="___KD6">[22]현장지지물물량!$A$1:$IV$8</definedName>
    <definedName name="___KD7">[22]현장지지물물량!$A$9:$N$23</definedName>
    <definedName name="___KD8">'[23]설산1.나'!$A$8:$J$53</definedName>
    <definedName name="___KD9">[23]본사S!$B$10:$P$103</definedName>
    <definedName name="___KK1" localSheetId="51" hidden="1">#REF!</definedName>
    <definedName name="___KK1" hidden="1">#REF!</definedName>
    <definedName name="___KK2" localSheetId="51" hidden="1">#REF!</definedName>
    <definedName name="___KK2" hidden="1">#REF!</definedName>
    <definedName name="___KK3" localSheetId="51" hidden="1">#REF!</definedName>
    <definedName name="___KK3" hidden="1">#REF!</definedName>
    <definedName name="___LL1" localSheetId="51">#REF!</definedName>
    <definedName name="___LL1">#REF!</definedName>
    <definedName name="___LL2" localSheetId="51">#REF!</definedName>
    <definedName name="___LL2">#REF!</definedName>
    <definedName name="___LL3" localSheetId="51">#REF!</definedName>
    <definedName name="___LL3">#REF!</definedName>
    <definedName name="___LL4" localSheetId="51">#REF!</definedName>
    <definedName name="___LL4">#REF!</definedName>
    <definedName name="___LL5" localSheetId="51">#REF!</definedName>
    <definedName name="___LL5">#REF!</definedName>
    <definedName name="___MPR1">#N/A</definedName>
    <definedName name="___MPR2">#N/A</definedName>
    <definedName name="___MPR3">#N/A</definedName>
    <definedName name="___nh1" localSheetId="51">'[24]Fixed Charge'!#REF!</definedName>
    <definedName name="___nh1">'[24]Fixed Charge'!#REF!</definedName>
    <definedName name="___nis3" localSheetId="51" hidden="1">#REF!</definedName>
    <definedName name="___nis3" hidden="1">#REF!</definedName>
    <definedName name="___p1" localSheetId="51">#REF!</definedName>
    <definedName name="___p1">#REF!</definedName>
    <definedName name="___p2" localSheetId="51">#REF!</definedName>
    <definedName name="___p2">#REF!</definedName>
    <definedName name="___P21" localSheetId="51">#REF!</definedName>
    <definedName name="___P21">#REF!</definedName>
    <definedName name="___P22" localSheetId="51">#REF!</definedName>
    <definedName name="___P22">#REF!</definedName>
    <definedName name="___p3" localSheetId="51">#REF!</definedName>
    <definedName name="___p3">#REF!</definedName>
    <definedName name="___P31" localSheetId="51">#REF!</definedName>
    <definedName name="___P31">#REF!</definedName>
    <definedName name="___P32" localSheetId="51">#REF!</definedName>
    <definedName name="___P32">#REF!</definedName>
    <definedName name="___P33" localSheetId="51">#REF!</definedName>
    <definedName name="___P33">#REF!</definedName>
    <definedName name="___P34" localSheetId="51">#REF!</definedName>
    <definedName name="___P34">#REF!</definedName>
    <definedName name="___PC1" localSheetId="51">#REF!</definedName>
    <definedName name="___PC1">#REF!</definedName>
    <definedName name="___PG1" localSheetId="51">'[5]Financial Estimates'!$A$7:$B$108</definedName>
    <definedName name="___PG1">'[5]Financial Estimates'!$A$7:$B$108</definedName>
    <definedName name="___PG2" localSheetId="51">#REF!</definedName>
    <definedName name="___PG2">#REF!</definedName>
    <definedName name="___PG3" localSheetId="51">#REF!</definedName>
    <definedName name="___PG3">#REF!</definedName>
    <definedName name="___PG5" localSheetId="51">'[5]Financial Estimates'!$A$271:$D$342</definedName>
    <definedName name="___PG5">'[5]Financial Estimates'!$A$271:$D$342</definedName>
    <definedName name="___pg6" localSheetId="51">'[6]Financial Estimates'!$A$271:$D$342</definedName>
    <definedName name="___pg6">'[6]Financial Estimates'!$A$271:$D$342</definedName>
    <definedName name="___pg7" localSheetId="51">'[6]Financial Estimates'!#REF!</definedName>
    <definedName name="___pg7">'[6]Financial Estimates'!#REF!</definedName>
    <definedName name="___RE100" localSheetId="51">#REF!</definedName>
    <definedName name="___RE100">#REF!</definedName>
    <definedName name="___RE104" localSheetId="51">#REF!</definedName>
    <definedName name="___RE104">#REF!</definedName>
    <definedName name="___RE112" localSheetId="51">#REF!</definedName>
    <definedName name="___RE112">#REF!</definedName>
    <definedName name="___RE26" localSheetId="51">#REF!</definedName>
    <definedName name="___RE26">#REF!</definedName>
    <definedName name="___RE28" localSheetId="51">#REF!</definedName>
    <definedName name="___RE28">#REF!</definedName>
    <definedName name="___RE30" localSheetId="51">#REF!</definedName>
    <definedName name="___RE30">#REF!</definedName>
    <definedName name="___RE32" localSheetId="51">#REF!</definedName>
    <definedName name="___RE32">#REF!</definedName>
    <definedName name="___RE34" localSheetId="51">#REF!</definedName>
    <definedName name="___RE34">#REF!</definedName>
    <definedName name="___RE36" localSheetId="51">#REF!</definedName>
    <definedName name="___RE36">#REF!</definedName>
    <definedName name="___RE38" localSheetId="51">#REF!</definedName>
    <definedName name="___RE38">#REF!</definedName>
    <definedName name="___RE40" localSheetId="51">#REF!</definedName>
    <definedName name="___RE40">#REF!</definedName>
    <definedName name="___RE42" localSheetId="51">#REF!</definedName>
    <definedName name="___RE42">#REF!</definedName>
    <definedName name="___RE44" localSheetId="51">#REF!</definedName>
    <definedName name="___RE44">#REF!</definedName>
    <definedName name="___RE48" localSheetId="51">#REF!</definedName>
    <definedName name="___RE48">#REF!</definedName>
    <definedName name="___RE52" localSheetId="51">#REF!</definedName>
    <definedName name="___RE52">#REF!</definedName>
    <definedName name="___RE56" localSheetId="51">#REF!</definedName>
    <definedName name="___RE56">#REF!</definedName>
    <definedName name="___RE60" localSheetId="51">#REF!</definedName>
    <definedName name="___RE60">#REF!</definedName>
    <definedName name="___RE64" localSheetId="51">#REF!</definedName>
    <definedName name="___RE64">#REF!</definedName>
    <definedName name="___RE68" localSheetId="51">#REF!</definedName>
    <definedName name="___RE68">#REF!</definedName>
    <definedName name="___RE72" localSheetId="51">#REF!</definedName>
    <definedName name="___RE72">#REF!</definedName>
    <definedName name="___RE76" localSheetId="51">#REF!</definedName>
    <definedName name="___RE76">#REF!</definedName>
    <definedName name="___RE80" localSheetId="51">#REF!</definedName>
    <definedName name="___RE80">#REF!</definedName>
    <definedName name="___RE88" localSheetId="51">#REF!</definedName>
    <definedName name="___RE88">#REF!</definedName>
    <definedName name="___RE92" localSheetId="51">#REF!</definedName>
    <definedName name="___RE92">#REF!</definedName>
    <definedName name="___RE96" localSheetId="51">#REF!</definedName>
    <definedName name="___RE96">#REF!</definedName>
    <definedName name="___RMK1">#N/A</definedName>
    <definedName name="___RMK2">#N/A</definedName>
    <definedName name="___RR11" localSheetId="51">#REF!</definedName>
    <definedName name="___RR11">#REF!</definedName>
    <definedName name="___RR12" localSheetId="51">#REF!</definedName>
    <definedName name="___RR12">#REF!</definedName>
    <definedName name="___RR13" localSheetId="51">#REF!</definedName>
    <definedName name="___RR13">#REF!</definedName>
    <definedName name="___RR14" localSheetId="51">#REF!</definedName>
    <definedName name="___RR14">#REF!</definedName>
    <definedName name="___RR15" localSheetId="51">#REF!</definedName>
    <definedName name="___RR15">#REF!</definedName>
    <definedName name="___SCH6" localSheetId="51">'[17]04REL'!#REF!</definedName>
    <definedName name="___SCH6">'[16]04REL'!#REF!</definedName>
    <definedName name="___SSS1" localSheetId="51">#REF!</definedName>
    <definedName name="___SSS1">#REF!</definedName>
    <definedName name="___SSS2">[27]현장지지물물량!$A$9:$N$23</definedName>
    <definedName name="___USD1">'[19]#REF'!$E$26</definedName>
    <definedName name="___USD2">'[19]#REF'!$F$26</definedName>
    <definedName name="___USD3">'[19]#REF'!$G$26</definedName>
    <definedName name="___w123" localSheetId="52" hidden="1">{"Edition",#N/A,FALSE,"Data"}</definedName>
    <definedName name="___w123" localSheetId="51" hidden="1">{"Edition",#N/A,FALSE,"Data"}</definedName>
    <definedName name="___w123" localSheetId="1" hidden="1">{"Edition",#N/A,FALSE,"Data"}</definedName>
    <definedName name="___w123" hidden="1">{"Edition",#N/A,FALSE,"Data"}</definedName>
    <definedName name="___XL__ENTER_UNIT" localSheetId="51">#REF!</definedName>
    <definedName name="___XL__ENTER_UNIT">#REF!</definedName>
    <definedName name="___xlfn.BAHTTEXT" hidden="1">#NAME?</definedName>
    <definedName name="___za1" localSheetId="51">#REF!</definedName>
    <definedName name="___za1">#REF!</definedName>
    <definedName name="___zz1" localSheetId="51">#REF!</definedName>
    <definedName name="___zz1">#REF!</definedName>
    <definedName name="__123Graph_A" localSheetId="51" hidden="1">[28]CE!#REF!</definedName>
    <definedName name="__123Graph_A" hidden="1">[28]CE!#REF!</definedName>
    <definedName name="__123Graph_ACHART1" hidden="1">[29]EB!$C$42:$C$70</definedName>
    <definedName name="__123Graph_ACHART10" hidden="1">[29]EB!$C$42:$C$70</definedName>
    <definedName name="__123Graph_AChart11" hidden="1">[29]EB!$C$42:$C$70</definedName>
    <definedName name="__123Graph_ACHART2" hidden="1">[29]EB!$C$42:$C$70</definedName>
    <definedName name="__123Graph_ACHART3" hidden="1">[29]EB!$C$42:$C$70</definedName>
    <definedName name="__123Graph_ACHART4" localSheetId="51" hidden="1">[29]EB!$C$42:$C$70</definedName>
    <definedName name="__123Graph_ACHART4" hidden="1">[29]EB!$C$42:$C$70</definedName>
    <definedName name="__123Graph_ACHART5" localSheetId="51" hidden="1">[29]EB!$C$42:$C$70</definedName>
    <definedName name="__123Graph_ACHART5" hidden="1">[29]EB!$C$42:$C$70</definedName>
    <definedName name="__123Graph_ACHART6" localSheetId="51" hidden="1">[29]EB!$C$42:$C$70</definedName>
    <definedName name="__123Graph_ACHART6" hidden="1">[29]EB!$C$42:$C$70</definedName>
    <definedName name="__123Graph_ACHART7" localSheetId="51" hidden="1">[29]EB!$C$42:$C$70</definedName>
    <definedName name="__123Graph_ACHART7" hidden="1">[29]EB!$C$42:$C$70</definedName>
    <definedName name="__123Graph_ACHART8" localSheetId="51" hidden="1">[29]EB!$C$42:$C$70</definedName>
    <definedName name="__123Graph_ACHART8" hidden="1">[29]EB!$C$42:$C$70</definedName>
    <definedName name="__123Graph_ACHART9" localSheetId="51" hidden="1">[29]EB!$C$42:$C$70</definedName>
    <definedName name="__123Graph_ACHART9" hidden="1">[29]EB!$C$42:$C$70</definedName>
    <definedName name="__123Graph_ACurrent" localSheetId="51" hidden="1">'[30]Eq. Mobilization'!#REF!</definedName>
    <definedName name="__123Graph_ACurrent" hidden="1">'[30]Eq. Mobilization'!#REF!</definedName>
    <definedName name="__123Graph_ADEMAND" localSheetId="51" hidden="1">#REF!</definedName>
    <definedName name="__123Graph_ADEMAND" hidden="1">#REF!</definedName>
    <definedName name="__123Graph_ADMD_2" localSheetId="51" hidden="1">#REF!</definedName>
    <definedName name="__123Graph_ADMD_2" hidden="1">#REF!</definedName>
    <definedName name="__123Graph_AFAC" localSheetId="51" hidden="1">#REF!</definedName>
    <definedName name="__123Graph_AFAC" hidden="1">#REF!</definedName>
    <definedName name="__123Graph_AFAC_COMP" localSheetId="51" hidden="1">#REF!</definedName>
    <definedName name="__123Graph_AFAC_COMP" hidden="1">#REF!</definedName>
    <definedName name="__123Graph_ASTNPLF" localSheetId="51" hidden="1">[28]CE!#REF!</definedName>
    <definedName name="__123Graph_ASTNPLF" hidden="1">[28]CE!#REF!</definedName>
    <definedName name="__123Graph_B" localSheetId="51" hidden="1">[28]CE!#REF!</definedName>
    <definedName name="__123Graph_B" hidden="1">[28]CE!#REF!</definedName>
    <definedName name="__123Graph_BCHART1" hidden="1">[29]EB!$D$42:$D$70</definedName>
    <definedName name="__123Graph_BCHART10" hidden="1">[29]EB!$D$42:$D$70</definedName>
    <definedName name="__123Graph_BChart11" hidden="1">[29]EB!$D$42:$D$70</definedName>
    <definedName name="__123Graph_BCHART2" hidden="1">[29]EB!$D$42:$D$70</definedName>
    <definedName name="__123Graph_BCHART3" hidden="1">[29]EB!$D$42:$D$70</definedName>
    <definedName name="__123Graph_BCHART4" localSheetId="51" hidden="1">[29]EB!$D$42:$D$70</definedName>
    <definedName name="__123Graph_BCHART4" hidden="1">[29]EB!$D$42:$D$70</definedName>
    <definedName name="__123Graph_BCHART5" localSheetId="51" hidden="1">[29]EB!$D$42:$D$70</definedName>
    <definedName name="__123Graph_BCHART5" hidden="1">[29]EB!$D$42:$D$70</definedName>
    <definedName name="__123Graph_BCHART6" localSheetId="51" hidden="1">[29]EB!$D$42:$D$70</definedName>
    <definedName name="__123Graph_BCHART6" hidden="1">[29]EB!$D$42:$D$70</definedName>
    <definedName name="__123Graph_BCHART7" localSheetId="51" hidden="1">[29]EB!$D$42:$D$70</definedName>
    <definedName name="__123Graph_BCHART7" hidden="1">[29]EB!$D$42:$D$70</definedName>
    <definedName name="__123Graph_BCHART8" localSheetId="51" hidden="1">[29]EB!$D$42:$D$70</definedName>
    <definedName name="__123Graph_BCHART8" hidden="1">[29]EB!$D$42:$D$70</definedName>
    <definedName name="__123Graph_BCHART9" localSheetId="51" hidden="1">[29]EB!$D$42:$D$70</definedName>
    <definedName name="__123Graph_BCHART9" hidden="1">[29]EB!$D$42:$D$70</definedName>
    <definedName name="__123Graph_BCurrent" localSheetId="51" hidden="1">'[30]Eq. Mobilization'!#REF!</definedName>
    <definedName name="__123Graph_BCurrent" hidden="1">'[30]Eq. Mobilization'!#REF!</definedName>
    <definedName name="__123Graph_BDMD_2" localSheetId="51" hidden="1">#REF!</definedName>
    <definedName name="__123Graph_BDMD_2" hidden="1">#REF!</definedName>
    <definedName name="__123Graph_BFAC" localSheetId="51" hidden="1">#REF!</definedName>
    <definedName name="__123Graph_BFAC" hidden="1">#REF!</definedName>
    <definedName name="__123Graph_BFAC_COMP" localSheetId="51" hidden="1">#REF!</definedName>
    <definedName name="__123Graph_BFAC_COMP" hidden="1">#REF!</definedName>
    <definedName name="__123Graph_BSTNPLF" localSheetId="51" hidden="1">[28]CE!#REF!</definedName>
    <definedName name="__123Graph_BSTNPLF" hidden="1">[28]CE!#REF!</definedName>
    <definedName name="__123Graph_C" localSheetId="51" hidden="1">[28]CE!#REF!</definedName>
    <definedName name="__123Graph_C" hidden="1">[28]CE!#REF!</definedName>
    <definedName name="__123Graph_CCHART1" hidden="1">[29]EB!$E$42:$E$70</definedName>
    <definedName name="__123Graph_CCHART10" hidden="1">[29]EB!$E$42:$E$70</definedName>
    <definedName name="__123Graph_CChart11" hidden="1">[29]EB!$E$42:$E$70</definedName>
    <definedName name="__123Graph_CCHART2" hidden="1">[29]EB!$E$42:$E$70</definedName>
    <definedName name="__123Graph_CCHART3" hidden="1">[29]EB!$E$42:$E$70</definedName>
    <definedName name="__123Graph_CCHART4" localSheetId="51" hidden="1">[29]EB!$E$42:$E$70</definedName>
    <definedName name="__123Graph_CCHART4" hidden="1">[29]EB!$E$42:$E$70</definedName>
    <definedName name="__123Graph_CCHART5" localSheetId="51" hidden="1">[29]EB!$E$42:$E$70</definedName>
    <definedName name="__123Graph_CCHART5" hidden="1">[29]EB!$E$42:$E$70</definedName>
    <definedName name="__123Graph_CCHART6" localSheetId="51" hidden="1">[29]EB!$E$42:$E$70</definedName>
    <definedName name="__123Graph_CCHART6" hidden="1">[29]EB!$E$42:$E$70</definedName>
    <definedName name="__123Graph_CCHART7" localSheetId="51" hidden="1">[29]EB!$E$42:$E$70</definedName>
    <definedName name="__123Graph_CCHART7" hidden="1">[29]EB!$E$42:$E$70</definedName>
    <definedName name="__123Graph_CCHART8" localSheetId="51" hidden="1">[29]EB!$E$42:$E$70</definedName>
    <definedName name="__123Graph_CCHART8" hidden="1">[29]EB!$E$42:$E$70</definedName>
    <definedName name="__123Graph_CCHART9" localSheetId="51" hidden="1">[29]EB!$E$42:$E$70</definedName>
    <definedName name="__123Graph_CCHART9" hidden="1">[29]EB!$E$42:$E$70</definedName>
    <definedName name="__123Graph_CCurrent" localSheetId="51" hidden="1">[29]EB!$E$42:$E$70</definedName>
    <definedName name="__123Graph_CCurrent" hidden="1">[29]EB!$E$42:$E$70</definedName>
    <definedName name="__123Graph_CSTNPLF" localSheetId="51" hidden="1">[28]CE!#REF!</definedName>
    <definedName name="__123Graph_CSTNPLF" hidden="1">[28]CE!#REF!</definedName>
    <definedName name="__123Graph_D" localSheetId="51" hidden="1">#REF!</definedName>
    <definedName name="__123Graph_D" hidden="1">#REF!</definedName>
    <definedName name="__123Graph_DCHART1" hidden="1">[29]EB!$F$42:$F$70</definedName>
    <definedName name="__123Graph_DCHART10" hidden="1">[29]EB!$F$42:$F$70</definedName>
    <definedName name="__123Graph_DChart11" hidden="1">[29]EB!$F$42:$F$70</definedName>
    <definedName name="__123Graph_DCHART2" hidden="1">[29]EB!$F$42:$F$70</definedName>
    <definedName name="__123Graph_DCHART3" hidden="1">[29]EB!$F$42:$F$70</definedName>
    <definedName name="__123Graph_DCHART4" localSheetId="51" hidden="1">[29]EB!$F$42:$F$70</definedName>
    <definedName name="__123Graph_DCHART4" hidden="1">[29]EB!$F$42:$F$70</definedName>
    <definedName name="__123Graph_DCHART5" localSheetId="51" hidden="1">[29]EB!$F$42:$F$70</definedName>
    <definedName name="__123Graph_DCHART5" hidden="1">[29]EB!$F$42:$F$70</definedName>
    <definedName name="__123Graph_DCHART6" localSheetId="51" hidden="1">[29]EB!$F$42:$F$70</definedName>
    <definedName name="__123Graph_DCHART6" hidden="1">[29]EB!$F$42:$F$70</definedName>
    <definedName name="__123Graph_DCHART7" localSheetId="51" hidden="1">[29]EB!$F$42:$F$70</definedName>
    <definedName name="__123Graph_DCHART7" hidden="1">[29]EB!$F$42:$F$70</definedName>
    <definedName name="__123Graph_DCHART8" localSheetId="51" hidden="1">[29]EB!$F$42:$F$70</definedName>
    <definedName name="__123Graph_DCHART8" hidden="1">[29]EB!$F$42:$F$70</definedName>
    <definedName name="__123Graph_DCHART9" localSheetId="51" hidden="1">[29]EB!$F$42:$F$70</definedName>
    <definedName name="__123Graph_DCHART9" hidden="1">[29]EB!$F$42:$F$70</definedName>
    <definedName name="__123Graph_DCURRENT" hidden="1">'[31]BREAKUP OF OIL'!#REF!</definedName>
    <definedName name="__123Graph_E" localSheetId="51" hidden="1">#REF!</definedName>
    <definedName name="__123Graph_E" hidden="1">#REF!</definedName>
    <definedName name="__123Graph_ECHART1" hidden="1">[29]EB!$G$42:$G$70</definedName>
    <definedName name="__123Graph_ECHART10" hidden="1">[29]EB!$G$42:$G$70</definedName>
    <definedName name="__123Graph_EChart11" hidden="1">[29]EB!$G$42:$G$70</definedName>
    <definedName name="__123Graph_ECHART2" hidden="1">[29]EB!$G$42:$G$70</definedName>
    <definedName name="__123Graph_ECHART3" hidden="1">[29]EB!$G$42:$G$70</definedName>
    <definedName name="__123Graph_ECHART4" localSheetId="51" hidden="1">[29]EB!$G$42:$G$70</definedName>
    <definedName name="__123Graph_ECHART4" hidden="1">[29]EB!$G$42:$G$70</definedName>
    <definedName name="__123Graph_ECHART5" localSheetId="51" hidden="1">[29]EB!$G$42:$G$70</definedName>
    <definedName name="__123Graph_ECHART5" hidden="1">[29]EB!$G$42:$G$70</definedName>
    <definedName name="__123Graph_ECHART6" localSheetId="51" hidden="1">[29]EB!$G$42:$G$70</definedName>
    <definedName name="__123Graph_ECHART6" hidden="1">[29]EB!$G$42:$G$70</definedName>
    <definedName name="__123Graph_ECHART7" localSheetId="51" hidden="1">[29]EB!$G$42:$G$70</definedName>
    <definedName name="__123Graph_ECHART7" hidden="1">[29]EB!$G$42:$G$70</definedName>
    <definedName name="__123Graph_ECHART8" localSheetId="51" hidden="1">[29]EB!$G$42:$G$70</definedName>
    <definedName name="__123Graph_ECHART8" hidden="1">[29]EB!$G$42:$G$70</definedName>
    <definedName name="__123Graph_ECHART9" localSheetId="51" hidden="1">[29]EB!$G$42:$G$70</definedName>
    <definedName name="__123Graph_ECHART9" hidden="1">[29]EB!$G$42:$G$70</definedName>
    <definedName name="__123Graph_ECurrent" localSheetId="51" hidden="1">[29]EB!$G$42:$G$70</definedName>
    <definedName name="__123Graph_ECurrent" hidden="1">[29]EB!$G$42:$G$70</definedName>
    <definedName name="__123Graph_F" hidden="1">'[32]01-02'!#REF!</definedName>
    <definedName name="__123Graph_FCHART1" hidden="1">[29]EB!$H$42:$H$70</definedName>
    <definedName name="__123Graph_FCHART10" hidden="1">[29]EB!$H$42:$H$70</definedName>
    <definedName name="__123Graph_FChart11" hidden="1">[29]EB!$H$42:$H$70</definedName>
    <definedName name="__123Graph_FCHART2" hidden="1">[29]EB!$H$42:$H$70</definedName>
    <definedName name="__123Graph_FCHART3" hidden="1">[29]EB!$H$42:$H$70</definedName>
    <definedName name="__123Graph_FCHART4" localSheetId="51" hidden="1">[29]EB!$H$42:$H$70</definedName>
    <definedName name="__123Graph_FCHART4" hidden="1">[29]EB!$H$42:$H$70</definedName>
    <definedName name="__123Graph_FCHART5" localSheetId="51" hidden="1">[29]EB!$H$42:$H$70</definedName>
    <definedName name="__123Graph_FCHART5" hidden="1">[29]EB!$H$42:$H$70</definedName>
    <definedName name="__123Graph_FCHART6" localSheetId="51" hidden="1">[29]EB!$H$42:$H$70</definedName>
    <definedName name="__123Graph_FCHART6" hidden="1">[29]EB!$H$42:$H$70</definedName>
    <definedName name="__123Graph_FCHART7" localSheetId="51" hidden="1">[29]EB!$H$42:$H$70</definedName>
    <definedName name="__123Graph_FCHART7" hidden="1">[29]EB!$H$42:$H$70</definedName>
    <definedName name="__123Graph_FCHART8" localSheetId="51" hidden="1">[29]EB!$H$42:$H$70</definedName>
    <definedName name="__123Graph_FCHART8" hidden="1">[29]EB!$H$42:$H$70</definedName>
    <definedName name="__123Graph_FCHART9" localSheetId="51" hidden="1">[29]EB!$H$42:$H$70</definedName>
    <definedName name="__123Graph_FCHART9" hidden="1">[29]EB!$H$42:$H$70</definedName>
    <definedName name="__123Graph_FCurrent" localSheetId="51" hidden="1">[29]EB!$H$42:$H$70</definedName>
    <definedName name="__123Graph_FCurrent" hidden="1">[29]EB!$H$42:$H$70</definedName>
    <definedName name="__123Graph_LBL_A" localSheetId="51" hidden="1">#REF!</definedName>
    <definedName name="__123Graph_LBL_A" hidden="1">#REF!</definedName>
    <definedName name="__123Graph_LBL_ADEMAND" localSheetId="51" hidden="1">#REF!</definedName>
    <definedName name="__123Graph_LBL_ADEMAND" hidden="1">#REF!</definedName>
    <definedName name="__123Graph_LBL_ADMD_2" localSheetId="51" hidden="1">#REF!</definedName>
    <definedName name="__123Graph_LBL_ADMD_2" hidden="1">#REF!</definedName>
    <definedName name="__123Graph_LBL_AFAC" localSheetId="51" hidden="1">#REF!</definedName>
    <definedName name="__123Graph_LBL_AFAC" hidden="1">#REF!</definedName>
    <definedName name="__123Graph_LBL_AFAC_COMP" localSheetId="51" hidden="1">#REF!</definedName>
    <definedName name="__123Graph_LBL_AFAC_COMP" hidden="1">#REF!</definedName>
    <definedName name="__123Graph_LBL_B" localSheetId="51" hidden="1">'[30]Eq. Mobilization'!#REF!</definedName>
    <definedName name="__123Graph_LBL_B" hidden="1">'[30]Eq. Mobilization'!#REF!</definedName>
    <definedName name="__123Graph_LBL_BDMD_2" localSheetId="51" hidden="1">#REF!</definedName>
    <definedName name="__123Graph_LBL_BDMD_2" hidden="1">#REF!</definedName>
    <definedName name="__123Graph_LBL_BFAC" localSheetId="51" hidden="1">#REF!</definedName>
    <definedName name="__123Graph_LBL_BFAC" hidden="1">#REF!</definedName>
    <definedName name="__123Graph_LBL_BFAC_COMP" localSheetId="51" hidden="1">#REF!</definedName>
    <definedName name="__123Graph_LBL_BFAC_COMP" hidden="1">#REF!</definedName>
    <definedName name="__123Graph_X" localSheetId="51" hidden="1">[28]CE!#REF!</definedName>
    <definedName name="__123Graph_X" hidden="1">[28]CE!#REF!</definedName>
    <definedName name="__123Graph_XCHART1" hidden="1">[29]EB!$B$42:$B$70</definedName>
    <definedName name="__123Graph_XCHART10" hidden="1">[29]EB!$B$42:$B$70</definedName>
    <definedName name="__123Graph_XChart11" hidden="1">[29]EB!$B$42:$B$70</definedName>
    <definedName name="__123Graph_XCHART2" hidden="1">[29]EB!$B$42:$B$70</definedName>
    <definedName name="__123Graph_XCHART3" hidden="1">[29]EB!$B$42:$B$70</definedName>
    <definedName name="__123Graph_XCHART4" localSheetId="51" hidden="1">[29]EB!$B$42:$B$70</definedName>
    <definedName name="__123Graph_XCHART4" hidden="1">[29]EB!$B$42:$B$70</definedName>
    <definedName name="__123Graph_XCHART5" localSheetId="51" hidden="1">[29]EB!$B$42:$B$70</definedName>
    <definedName name="__123Graph_XCHART5" hidden="1">[29]EB!$B$42:$B$70</definedName>
    <definedName name="__123Graph_XCHART6" localSheetId="51" hidden="1">[29]EB!$B$42:$B$70</definedName>
    <definedName name="__123Graph_XCHART6" hidden="1">[29]EB!$B$42:$B$70</definedName>
    <definedName name="__123Graph_XCHART7" localSheetId="51" hidden="1">[29]EB!$B$42:$B$70</definedName>
    <definedName name="__123Graph_XCHART7" hidden="1">[29]EB!$B$42:$B$70</definedName>
    <definedName name="__123Graph_XCHART8" localSheetId="51" hidden="1">[29]EB!$B$42:$B$70</definedName>
    <definedName name="__123Graph_XCHART8" hidden="1">[29]EB!$B$42:$B$70</definedName>
    <definedName name="__123Graph_XCHART9" localSheetId="51" hidden="1">[29]EB!$B$42:$B$70</definedName>
    <definedName name="__123Graph_XCHART9" hidden="1">[29]EB!$B$42:$B$70</definedName>
    <definedName name="__123Graph_XCurrent" localSheetId="51" hidden="1">'[30]Eq. Mobilization'!#REF!</definedName>
    <definedName name="__123Graph_XCurrent" hidden="1">'[30]Eq. Mobilization'!#REF!</definedName>
    <definedName name="__123Graph_XDEMAND" localSheetId="51" hidden="1">#REF!</definedName>
    <definedName name="__123Graph_XDEMAND" hidden="1">#REF!</definedName>
    <definedName name="__123Graph_XDMD_2" localSheetId="51" hidden="1">#REF!</definedName>
    <definedName name="__123Graph_XDMD_2" hidden="1">#REF!</definedName>
    <definedName name="__123Graph_XFAC" localSheetId="51" hidden="1">#REF!</definedName>
    <definedName name="__123Graph_XFAC" hidden="1">#REF!</definedName>
    <definedName name="__123Graph_XFAC_COMP" localSheetId="51" hidden="1">#REF!</definedName>
    <definedName name="__123Graph_XFAC_COMP" hidden="1">#REF!</definedName>
    <definedName name="__123Graph_XSTNPLF" localSheetId="51" hidden="1">[28]CE!#REF!</definedName>
    <definedName name="__123Graph_XSTNPLF" hidden="1">[28]CE!#REF!</definedName>
    <definedName name="__a3" localSheetId="51">[25]Summary!__a3</definedName>
    <definedName name="__a3">[25]Summary!__a3</definedName>
    <definedName name="__am28" localSheetId="52" hidden="1">{"Edition",#N/A,FALSE,"Data"}</definedName>
    <definedName name="__am28" localSheetId="51" hidden="1">{"Edition",#N/A,FALSE,"Data"}</definedName>
    <definedName name="__am28" localSheetId="1" hidden="1">{"Edition",#N/A,FALSE,"Data"}</definedName>
    <definedName name="__am28" hidden="1">{"Edition",#N/A,FALSE,"Data"}</definedName>
    <definedName name="__AOC2" localSheetId="51">#REF!</definedName>
    <definedName name="__AOC2">#REF!</definedName>
    <definedName name="__as3">[18]BEST_17112006!$C$20</definedName>
    <definedName name="__BSD1">#REF!</definedName>
    <definedName name="__BSD2">#REF!</definedName>
    <definedName name="__CO1" localSheetId="51">#REF!</definedName>
    <definedName name="__CO1">#REF!</definedName>
    <definedName name="__D87840" localSheetId="51">#REF!</definedName>
    <definedName name="__D87840">#REF!</definedName>
    <definedName name="__DAT1" localSheetId="51">#REF!</definedName>
    <definedName name="__DAT1">#REF!</definedName>
    <definedName name="__DAT10" localSheetId="51">#REF!</definedName>
    <definedName name="__DAT10">#REF!</definedName>
    <definedName name="__DAT11" localSheetId="51">#REF!</definedName>
    <definedName name="__DAT11">#REF!</definedName>
    <definedName name="__DAT12" localSheetId="51">'[8]ins spares'!#REF!</definedName>
    <definedName name="__DAT12">'[8]ins spares'!#REF!</definedName>
    <definedName name="__DAT13" localSheetId="51">'[8]ins spares'!#REF!</definedName>
    <definedName name="__DAT13">'[8]ins spares'!#REF!</definedName>
    <definedName name="__DAT15" localSheetId="51">'[8]ins spares'!#REF!</definedName>
    <definedName name="__DAT15">'[8]ins spares'!#REF!</definedName>
    <definedName name="__DAT16" localSheetId="51">'[8]ins spares'!#REF!</definedName>
    <definedName name="__DAT16">'[8]ins spares'!#REF!</definedName>
    <definedName name="__DAT18" localSheetId="51">'[8]ins spares'!#REF!</definedName>
    <definedName name="__DAT18">'[8]ins spares'!#REF!</definedName>
    <definedName name="__DAT19" localSheetId="51">'[8]ins spares'!#REF!</definedName>
    <definedName name="__DAT19">'[8]ins spares'!#REF!</definedName>
    <definedName name="__DAT2" localSheetId="51">#REF!</definedName>
    <definedName name="__DAT2">#REF!</definedName>
    <definedName name="__DAT20" localSheetId="51">'[8]ins spares'!#REF!</definedName>
    <definedName name="__DAT20">'[8]ins spares'!#REF!</definedName>
    <definedName name="__DAT21" localSheetId="51">'[8]ins spares'!#REF!</definedName>
    <definedName name="__DAT21">'[8]ins spares'!#REF!</definedName>
    <definedName name="__DAT22" localSheetId="51">'[8]ins spares'!#REF!</definedName>
    <definedName name="__DAT22">'[8]ins spares'!#REF!</definedName>
    <definedName name="__DAT23" localSheetId="51">'[8]ins spares'!#REF!</definedName>
    <definedName name="__DAT23">'[8]ins spares'!#REF!</definedName>
    <definedName name="__DAT24" localSheetId="51">'[8]ins spares'!#REF!</definedName>
    <definedName name="__DAT24">'[8]ins spares'!#REF!</definedName>
    <definedName name="__DAT3" localSheetId="51">#REF!</definedName>
    <definedName name="__DAT3">#REF!</definedName>
    <definedName name="__DAT4" localSheetId="51">#REF!</definedName>
    <definedName name="__DAT4">#REF!</definedName>
    <definedName name="__DAT5" localSheetId="51">#REF!</definedName>
    <definedName name="__DAT5">#REF!</definedName>
    <definedName name="__DAT6" localSheetId="51">#REF!</definedName>
    <definedName name="__DAT6">#REF!</definedName>
    <definedName name="__DAT7" localSheetId="51">#REF!</definedName>
    <definedName name="__DAT7">#REF!</definedName>
    <definedName name="__DAT8" localSheetId="51">#REF!</definedName>
    <definedName name="__DAT8">#REF!</definedName>
    <definedName name="__DAT9" localSheetId="51">#REF!</definedName>
    <definedName name="__DAT9">#REF!</definedName>
    <definedName name="__DOWN_10__GOTO" localSheetId="51">#REF!</definedName>
    <definedName name="__DOWN_10__GOTO">#REF!</definedName>
    <definedName name="__ELL45" localSheetId="51">#REF!</definedName>
    <definedName name="__ELL45">#REF!</definedName>
    <definedName name="__ELL90" localSheetId="51">#REF!</definedName>
    <definedName name="__ELL90">#REF!</definedName>
    <definedName name="__EMP4">#N/A</definedName>
    <definedName name="__ES84__EW84_0." localSheetId="51">#REF!</definedName>
    <definedName name="__ES84__EW84_0.">#REF!</definedName>
    <definedName name="__f2" localSheetId="51">#REF!</definedName>
    <definedName name="__f2">#REF!</definedName>
    <definedName name="__ffr1" localSheetId="51">#REF!</definedName>
    <definedName name="__ffr1">#REF!</definedName>
    <definedName name="__ffr2">[19]자바라1!$O$10</definedName>
    <definedName name="__FFr98">'[19]#REF'!$F$29</definedName>
    <definedName name="__FFr99">'[19]#REF'!$G$29</definedName>
    <definedName name="__FRF2" localSheetId="51">#REF!</definedName>
    <definedName name="__FRF2">#REF!</definedName>
    <definedName name="__G87634" localSheetId="51">#REF!</definedName>
    <definedName name="__G87634">#REF!</definedName>
    <definedName name="__GOTO_EP84__AV" localSheetId="51">#REF!</definedName>
    <definedName name="__GOTO_EP84__AV">#REF!</definedName>
    <definedName name="__IED1">#REF!</definedName>
    <definedName name="__IED2">#REF!</definedName>
    <definedName name="__K3" localSheetId="51">#REF!</definedName>
    <definedName name="__K3">#REF!</definedName>
    <definedName name="__K5" localSheetId="51">#REF!</definedName>
    <definedName name="__K5">#REF!</definedName>
    <definedName name="__K6" localSheetId="51">#REF!</definedName>
    <definedName name="__K6">#REF!</definedName>
    <definedName name="__KD10">[20]현장지지물물량!$A$8:$N$196</definedName>
    <definedName name="__KD11" localSheetId="51">[20]현장지지물물량!$1:$7</definedName>
    <definedName name="__KD11">[20]현장지지물물량!$A$1:$IV$7</definedName>
    <definedName name="__KD12">[20]현장지지물물량!$A$8:$N$196</definedName>
    <definedName name="__KD13" localSheetId="51">[20]현장지지물물량!$1:$7</definedName>
    <definedName name="__KD13">[20]현장지지물물량!$A$1:$IV$7</definedName>
    <definedName name="__KD14">[21]현장지지물물량!$A$9:$N$23</definedName>
    <definedName name="__KD15">[22]현장지지물물량!$A$9:$N$23</definedName>
    <definedName name="__KD16" localSheetId="51">[22]현장지지물물량!$1:$8</definedName>
    <definedName name="__KD16">[22]현장지지물물량!$A$1:$IV$8</definedName>
    <definedName name="__KD18">[22]현장지지물물량!$A$9:$N$23</definedName>
    <definedName name="__KD2" localSheetId="51" hidden="1">#REF!</definedName>
    <definedName name="__KD2" hidden="1">#REF!</definedName>
    <definedName name="__KD3" localSheetId="51" hidden="1">#REF!</definedName>
    <definedName name="__KD3" hidden="1">#REF!</definedName>
    <definedName name="__KD4">[20]현장지지물물량!$A$8:$N$196</definedName>
    <definedName name="__KD5" localSheetId="51">[22]현장지지물물량!$1:$8</definedName>
    <definedName name="__KD5">[22]현장지지물물량!$A$1:$IV$8</definedName>
    <definedName name="__KD6" localSheetId="51">[22]현장지지물물량!$1:$8</definedName>
    <definedName name="__KD6">[22]현장지지물물량!$A$1:$IV$8</definedName>
    <definedName name="__KD7">[22]현장지지물물량!$A$9:$N$23</definedName>
    <definedName name="__KD8">'[23]설산1.나'!$A$8:$J$53</definedName>
    <definedName name="__KD9">[23]본사S!$B$10:$P$103</definedName>
    <definedName name="__KK1" localSheetId="51" hidden="1">#REF!</definedName>
    <definedName name="__KK1" hidden="1">#REF!</definedName>
    <definedName name="__KK2" localSheetId="51" hidden="1">#REF!</definedName>
    <definedName name="__KK2" hidden="1">#REF!</definedName>
    <definedName name="__KK3" localSheetId="51" hidden="1">#REF!</definedName>
    <definedName name="__KK3" hidden="1">#REF!</definedName>
    <definedName name="__LD2">[33]DLC!$GR$56:$HT$8181</definedName>
    <definedName name="__LD4">[33]DLC!$AH$32:$BE$8180</definedName>
    <definedName name="__LD5">[33]DLC!$GR$53:$HK$8180</definedName>
    <definedName name="__LD6">[33]DLC!$GR$69:$HL$8180</definedName>
    <definedName name="__LL1" localSheetId="51">#REF!</definedName>
    <definedName name="__LL1">#REF!</definedName>
    <definedName name="__LL2" localSheetId="51">#REF!</definedName>
    <definedName name="__LL2">#REF!</definedName>
    <definedName name="__LL3" localSheetId="51">#REF!</definedName>
    <definedName name="__LL3">#REF!</definedName>
    <definedName name="__LL4" localSheetId="51">#REF!</definedName>
    <definedName name="__LL4">#REF!</definedName>
    <definedName name="__LL5" localSheetId="51">#REF!</definedName>
    <definedName name="__LL5">#REF!</definedName>
    <definedName name="__MPR1">#N/A</definedName>
    <definedName name="__MPR2">#N/A</definedName>
    <definedName name="__MPR3">#N/A</definedName>
    <definedName name="__nh1" localSheetId="51">'[24]Fixed Charge'!#REF!</definedName>
    <definedName name="__nh1">'[24]Fixed Charge'!#REF!</definedName>
    <definedName name="__nis3" localSheetId="51" hidden="1">#REF!</definedName>
    <definedName name="__nis3" hidden="1">#REF!</definedName>
    <definedName name="__p1" localSheetId="51">#REF!</definedName>
    <definedName name="__p1">#REF!</definedName>
    <definedName name="__p2" localSheetId="51">#REF!</definedName>
    <definedName name="__p2">#REF!</definedName>
    <definedName name="__P21" localSheetId="51">#REF!</definedName>
    <definedName name="__P21">#REF!</definedName>
    <definedName name="__P22" localSheetId="51">#REF!</definedName>
    <definedName name="__P22">#REF!</definedName>
    <definedName name="__p3" localSheetId="51">#REF!</definedName>
    <definedName name="__p3">#REF!</definedName>
    <definedName name="__P31" localSheetId="51">#REF!</definedName>
    <definedName name="__P31">#REF!</definedName>
    <definedName name="__P32" localSheetId="51">#REF!</definedName>
    <definedName name="__P32">#REF!</definedName>
    <definedName name="__P33" localSheetId="51">#REF!</definedName>
    <definedName name="__P33">#REF!</definedName>
    <definedName name="__P34" localSheetId="51">#REF!</definedName>
    <definedName name="__P34">#REF!</definedName>
    <definedName name="__PC1" localSheetId="51">#REF!</definedName>
    <definedName name="__PC1">#REF!</definedName>
    <definedName name="__PG1" localSheetId="51">'[5]Financial Estimates'!$A$7:$B$108</definedName>
    <definedName name="__PG1">'[5]Financial Estimates'!$A$7:$B$108</definedName>
    <definedName name="__PG2" localSheetId="51">#REF!</definedName>
    <definedName name="__PG2">#REF!</definedName>
    <definedName name="__PG3" localSheetId="51">#REF!</definedName>
    <definedName name="__PG3">#REF!</definedName>
    <definedName name="__PG5" localSheetId="51">'[5]Financial Estimates'!$A$271:$D$342</definedName>
    <definedName name="__PG5">'[5]Financial Estimates'!$A$271:$D$342</definedName>
    <definedName name="__pg6" localSheetId="51">'[6]Financial Estimates'!$A$271:$D$342</definedName>
    <definedName name="__pg6">'[6]Financial Estimates'!$A$271:$D$342</definedName>
    <definedName name="__pg7" localSheetId="51">'[6]Financial Estimates'!#REF!</definedName>
    <definedName name="__pg7">'[6]Financial Estimates'!#REF!</definedName>
    <definedName name="__RE100" localSheetId="51">#REF!</definedName>
    <definedName name="__RE100">#REF!</definedName>
    <definedName name="__RE104" localSheetId="51">#REF!</definedName>
    <definedName name="__RE104">#REF!</definedName>
    <definedName name="__RE112" localSheetId="51">#REF!</definedName>
    <definedName name="__RE112">#REF!</definedName>
    <definedName name="__RE26" localSheetId="51">#REF!</definedName>
    <definedName name="__RE26">#REF!</definedName>
    <definedName name="__RE28" localSheetId="51">#REF!</definedName>
    <definedName name="__RE28">#REF!</definedName>
    <definedName name="__RE30" localSheetId="51">#REF!</definedName>
    <definedName name="__RE30">#REF!</definedName>
    <definedName name="__RE32" localSheetId="51">#REF!</definedName>
    <definedName name="__RE32">#REF!</definedName>
    <definedName name="__RE34" localSheetId="51">#REF!</definedName>
    <definedName name="__RE34">#REF!</definedName>
    <definedName name="__RE36" localSheetId="51">#REF!</definedName>
    <definedName name="__RE36">#REF!</definedName>
    <definedName name="__RE38" localSheetId="51">#REF!</definedName>
    <definedName name="__RE38">#REF!</definedName>
    <definedName name="__RE40" localSheetId="51">#REF!</definedName>
    <definedName name="__RE40">#REF!</definedName>
    <definedName name="__RE42" localSheetId="51">#REF!</definedName>
    <definedName name="__RE42">#REF!</definedName>
    <definedName name="__RE44" localSheetId="51">#REF!</definedName>
    <definedName name="__RE44">#REF!</definedName>
    <definedName name="__RE48" localSheetId="51">#REF!</definedName>
    <definedName name="__RE48">#REF!</definedName>
    <definedName name="__RE52" localSheetId="51">#REF!</definedName>
    <definedName name="__RE52">#REF!</definedName>
    <definedName name="__RE56" localSheetId="51">#REF!</definedName>
    <definedName name="__RE56">#REF!</definedName>
    <definedName name="__RE60" localSheetId="51">#REF!</definedName>
    <definedName name="__RE60">#REF!</definedName>
    <definedName name="__RE64" localSheetId="51">#REF!</definedName>
    <definedName name="__RE64">#REF!</definedName>
    <definedName name="__RE68" localSheetId="51">#REF!</definedName>
    <definedName name="__RE68">#REF!</definedName>
    <definedName name="__RE72" localSheetId="51">#REF!</definedName>
    <definedName name="__RE72">#REF!</definedName>
    <definedName name="__RE76" localSheetId="51">#REF!</definedName>
    <definedName name="__RE76">#REF!</definedName>
    <definedName name="__RE80" localSheetId="51">#REF!</definedName>
    <definedName name="__RE80">#REF!</definedName>
    <definedName name="__RE88" localSheetId="51">#REF!</definedName>
    <definedName name="__RE88">#REF!</definedName>
    <definedName name="__RE92" localSheetId="51">#REF!</definedName>
    <definedName name="__RE92">#REF!</definedName>
    <definedName name="__RE96" localSheetId="51">#REF!</definedName>
    <definedName name="__RE96">#REF!</definedName>
    <definedName name="__RMK1">#N/A</definedName>
    <definedName name="__RMK2">#N/A</definedName>
    <definedName name="__RR11" localSheetId="51">#REF!</definedName>
    <definedName name="__RR11">#REF!</definedName>
    <definedName name="__RR12" localSheetId="51">#REF!</definedName>
    <definedName name="__RR12">#REF!</definedName>
    <definedName name="__RR13" localSheetId="51">#REF!</definedName>
    <definedName name="__RR13">#REF!</definedName>
    <definedName name="__RR14" localSheetId="51">#REF!</definedName>
    <definedName name="__RR14">#REF!</definedName>
    <definedName name="__RR15" localSheetId="51">#REF!</definedName>
    <definedName name="__RR15">#REF!</definedName>
    <definedName name="__SCH6" localSheetId="51">'[16]04REL'!#REF!</definedName>
    <definedName name="__SCH6">'[16]04REL'!#REF!</definedName>
    <definedName name="__SH10">'[34]Executive Summary -Thermal'!$A$4:$G$118</definedName>
    <definedName name="__SH11">'[34]Executive Summary -Thermal'!$A$4:$H$167</definedName>
    <definedName name="__SH2">'[34]Executive Summary -Thermal'!$A$4:$H$157</definedName>
    <definedName name="__SH3">'[34]Executive Summary -Thermal'!$A$4:$H$136</definedName>
    <definedName name="__SH4">'[34]Executive Summary -Thermal'!$A$4:$H$96</definedName>
    <definedName name="__SH5">'[34]Executive Summary -Thermal'!$A$4:$H$96</definedName>
    <definedName name="__SH6">'[34]Executive Summary -Thermal'!$A$4:$H$95</definedName>
    <definedName name="__SH7">'[34]Executive Summary -Thermal'!$A$4:$H$163</definedName>
    <definedName name="__SH8">'[34]Executive Summary -Thermal'!$A$4:$H$133</definedName>
    <definedName name="__SH9">'[34]Executive Summary -Thermal'!$A$4:$H$194</definedName>
    <definedName name="__SSS1" localSheetId="51">#REF!</definedName>
    <definedName name="__SSS1">#REF!</definedName>
    <definedName name="__SSS2">[27]현장지지물물량!$A$9:$N$23</definedName>
    <definedName name="__SUM_CS57..CS6" localSheetId="51">#REF!</definedName>
    <definedName name="__SUM_CS57..CS6">#REF!</definedName>
    <definedName name="__SUM_CS65..CS7" localSheetId="51">#REF!</definedName>
    <definedName name="__SUM_CS65..CS7">#REF!</definedName>
    <definedName name="__SUM_FQ20..FQ2" localSheetId="51">#REF!</definedName>
    <definedName name="__SUM_FQ20..FQ2">#REF!</definedName>
    <definedName name="__SUM_FQ28..FQ3" localSheetId="51">#REF!</definedName>
    <definedName name="__SUM_FQ28..FQ3">#REF!</definedName>
    <definedName name="__USD1">'[19]#REF'!$E$26</definedName>
    <definedName name="__USD2">'[19]#REF'!$F$26</definedName>
    <definedName name="__USD3">'[19]#REF'!$G$26</definedName>
    <definedName name="__w123" localSheetId="52" hidden="1">{"Edition",#N/A,FALSE,"Data"}</definedName>
    <definedName name="__w123" localSheetId="51" hidden="1">{"Edition",#N/A,FALSE,"Data"}</definedName>
    <definedName name="__w123" localSheetId="1" hidden="1">{"Edition",#N/A,FALSE,"Data"}</definedName>
    <definedName name="__w123" hidden="1">{"Edition",#N/A,FALSE,"Data"}</definedName>
    <definedName name="__XL__ENTER_UNIT" localSheetId="51">#REF!</definedName>
    <definedName name="__XL__ENTER_UNIT">#REF!</definedName>
    <definedName name="__xlfn.BAHTTEXT" hidden="1">#NAME?</definedName>
    <definedName name="__za1" localSheetId="51">#REF!</definedName>
    <definedName name="__za1">#REF!</definedName>
    <definedName name="__zz1" localSheetId="51">#REF!</definedName>
    <definedName name="__zz1">#REF!</definedName>
    <definedName name="_1">#N/A</definedName>
    <definedName name="_10__123Graph_BI_II_PLF" localSheetId="51" hidden="1">[35]CE!#REF!</definedName>
    <definedName name="_10__123Graph_BI_II_PLF" hidden="1">[35]CE!#REF!</definedName>
    <definedName name="_11">#N/A</definedName>
    <definedName name="_11__123Graph_CI_II_PLF" localSheetId="51" hidden="1">[35]CE!#REF!</definedName>
    <definedName name="_11__123Graph_CI_II_PLF" hidden="1">[35]CE!#REF!</definedName>
    <definedName name="_12">#N/A</definedName>
    <definedName name="_12__123Graph_XI_II_PLF" localSheetId="51" hidden="1">[35]CE!#REF!</definedName>
    <definedName name="_12__123Graph_XI_II_PLF" hidden="1">[35]CE!#REF!</definedName>
    <definedName name="_2">#N/A</definedName>
    <definedName name="_2___123Graph_AI_II_PLF" hidden="1">[28]CE!#REF!</definedName>
    <definedName name="_21">#N/A</definedName>
    <definedName name="_22">#N/A</definedName>
    <definedName name="_23">#N/A</definedName>
    <definedName name="_24">#N/A</definedName>
    <definedName name="_25">#N/A</definedName>
    <definedName name="_31">#N/A</definedName>
    <definedName name="_32">#N/A</definedName>
    <definedName name="_33">#N/A</definedName>
    <definedName name="_34">#N/A</definedName>
    <definedName name="_35">#N/A</definedName>
    <definedName name="_36">#N/A</definedName>
    <definedName name="_4___123Graph_BI_II_PLF" hidden="1">[28]CE!#REF!</definedName>
    <definedName name="_41">#N/A</definedName>
    <definedName name="_42">#N/A</definedName>
    <definedName name="_４４__分_期" localSheetId="51">#REF!</definedName>
    <definedName name="_４４__分_期">#REF!</definedName>
    <definedName name="_5" localSheetId="51">#REF!</definedName>
    <definedName name="_5">#REF!</definedName>
    <definedName name="_51">#N/A</definedName>
    <definedName name="_52">#N/A</definedName>
    <definedName name="_53">#N/A</definedName>
    <definedName name="_54">#N/A</definedName>
    <definedName name="_6" localSheetId="51">#REF!</definedName>
    <definedName name="_6">#REF!</definedName>
    <definedName name="_6___123Graph_CI_II_PLF" localSheetId="51" hidden="1">[28]CE!#REF!</definedName>
    <definedName name="_6___123Graph_CI_II_PLF" hidden="1">[28]CE!#REF!</definedName>
    <definedName name="_61">#N/A</definedName>
    <definedName name="_62">#N/A</definedName>
    <definedName name="_71">#N/A</definedName>
    <definedName name="_72">#N/A</definedName>
    <definedName name="_8___123Graph_XI_II_PLF" hidden="1">[28]CE!#REF!</definedName>
    <definedName name="_8485G">'[36]Stationwise Thermal &amp; Hydel Gen'!$GR$4:$HK$9</definedName>
    <definedName name="_9__123Graph_AI_II_PLF" localSheetId="51" hidden="1">[35]CE!#REF!</definedName>
    <definedName name="_9__123Graph_AI_II_PLF" hidden="1">[35]CE!#REF!</definedName>
    <definedName name="_a3" localSheetId="51">[25]Summary!_a3</definedName>
    <definedName name="_a3">[25]Summary!_a3</definedName>
    <definedName name="_AOC2" localSheetId="51">#REF!</definedName>
    <definedName name="_AOC2">#REF!</definedName>
    <definedName name="_APR1">'[37]LDC LU'!#REF!</definedName>
    <definedName name="_APR2">'[37]LDC LU'!#REF!</definedName>
    <definedName name="_as3">[18]BEST_17112006!$C$20</definedName>
    <definedName name="_AUG1">'[37]LDC LU'!#REF!</definedName>
    <definedName name="_AUG2">'[37]LDC LU'!#REF!</definedName>
    <definedName name="_BAS_FCOST_AFT_" localSheetId="51">'[5]Financial Estimates'!$C$321</definedName>
    <definedName name="_BAS_FCOST_AFT_">'[5]Financial Estimates'!$C$321</definedName>
    <definedName name="_BBQ1" localSheetId="58">[26]!_xlbgnm.BBQ1</definedName>
    <definedName name="_BBQ1" localSheetId="59">[26]!_xlbgnm.BBQ1</definedName>
    <definedName name="_BBQ1">[26]!_xlbgnm.BBQ1</definedName>
    <definedName name="_BEST_GR" localSheetId="51">#REF!</definedName>
    <definedName name="_BEST_GR">#REF!</definedName>
    <definedName name="_BHIV_AUX" localSheetId="51">#REF!</definedName>
    <definedName name="_BHIV_AUX">#REF!</definedName>
    <definedName name="_BHIV_HT_RT" localSheetId="51">#REF!</definedName>
    <definedName name="_BHIV_HT_RT">#REF!</definedName>
    <definedName name="_BSD1">#REF!</definedName>
    <definedName name="_BSD2">#REF!</definedName>
    <definedName name="_BSES22_GR" localSheetId="51">#REF!</definedName>
    <definedName name="_BSES22_GR">#REF!</definedName>
    <definedName name="_BSES220_GR" localSheetId="51">#REF!</definedName>
    <definedName name="_BSES220_GR">#REF!</definedName>
    <definedName name="_C" localSheetId="51">#REF!</definedName>
    <definedName name="_C">#REF!</definedName>
    <definedName name="_CO1" localSheetId="51">#REF!</definedName>
    <definedName name="_CO1">#REF!</definedName>
    <definedName name="_COAL_CAL_VAL_" localSheetId="51">'[5]Financial Estimates'!$C$324</definedName>
    <definedName name="_COAL_CAL_VAL_">'[5]Financial Estimates'!$C$324</definedName>
    <definedName name="_D___GOTO_GK112" localSheetId="51">#REF!</definedName>
    <definedName name="_D___GOTO_GK112">#REF!</definedName>
    <definedName name="_D___GOTO_GK56_" localSheetId="51">#REF!</definedName>
    <definedName name="_D___GOTO_GK56_">#REF!</definedName>
    <definedName name="_D__D___L___GOT" localSheetId="51">#REF!</definedName>
    <definedName name="_D__D___L___GOT">#REF!</definedName>
    <definedName name="_D__D__D___D__D" localSheetId="51">#REF!</definedName>
    <definedName name="_D__D__D___D__D">#REF!</definedName>
    <definedName name="_D_19__U_19_" localSheetId="51">#REF!</definedName>
    <definedName name="_D_19__U_19_">#REF!</definedName>
    <definedName name="_D87840" localSheetId="51">#REF!</definedName>
    <definedName name="_D87840">#REF!</definedName>
    <definedName name="_DAT1" localSheetId="51">#REF!</definedName>
    <definedName name="_DAT1">#REF!</definedName>
    <definedName name="_DAT10" localSheetId="51">#REF!</definedName>
    <definedName name="_DAT10">#REF!</definedName>
    <definedName name="_DAT11" localSheetId="51">#REF!</definedName>
    <definedName name="_DAT11">#REF!</definedName>
    <definedName name="_DAT12" localSheetId="51">'[8]ins spares'!#REF!</definedName>
    <definedName name="_DAT12">'[8]ins spares'!#REF!</definedName>
    <definedName name="_DAT13" localSheetId="51">'[8]ins spares'!#REF!</definedName>
    <definedName name="_DAT13">'[8]ins spares'!#REF!</definedName>
    <definedName name="_DAT15" localSheetId="51">'[8]ins spares'!#REF!</definedName>
    <definedName name="_DAT15">'[8]ins spares'!#REF!</definedName>
    <definedName name="_DAT16" localSheetId="51">'[8]ins spares'!#REF!</definedName>
    <definedName name="_DAT16">'[8]ins spares'!#REF!</definedName>
    <definedName name="_DAT18" localSheetId="51">'[8]ins spares'!#REF!</definedName>
    <definedName name="_DAT18">'[8]ins spares'!#REF!</definedName>
    <definedName name="_DAT19" localSheetId="51">'[8]ins spares'!#REF!</definedName>
    <definedName name="_DAT19">'[8]ins spares'!#REF!</definedName>
    <definedName name="_DAT2" localSheetId="51">#REF!</definedName>
    <definedName name="_DAT2">#REF!</definedName>
    <definedName name="_DAT20" localSheetId="51">'[8]ins spares'!#REF!</definedName>
    <definedName name="_DAT20">'[8]ins spares'!#REF!</definedName>
    <definedName name="_DAT21" localSheetId="51">'[8]ins spares'!#REF!</definedName>
    <definedName name="_DAT21">'[8]ins spares'!#REF!</definedName>
    <definedName name="_DAT22" localSheetId="51">'[8]ins spares'!#REF!</definedName>
    <definedName name="_DAT22">'[8]ins spares'!#REF!</definedName>
    <definedName name="_DAT23" localSheetId="51">'[8]ins spares'!#REF!</definedName>
    <definedName name="_DAT23">'[8]ins spares'!#REF!</definedName>
    <definedName name="_DAT24" localSheetId="51">'[8]ins spares'!#REF!</definedName>
    <definedName name="_DAT24">'[8]ins spares'!#REF!</definedName>
    <definedName name="_DAT3" localSheetId="51">#REF!</definedName>
    <definedName name="_DAT3">#REF!</definedName>
    <definedName name="_DAT4" localSheetId="51">#REF!</definedName>
    <definedName name="_DAT4">#REF!</definedName>
    <definedName name="_DAT5" localSheetId="51">#REF!</definedName>
    <definedName name="_DAT5">#REF!</definedName>
    <definedName name="_DAT6" localSheetId="51">#REF!</definedName>
    <definedName name="_DAT6">#REF!</definedName>
    <definedName name="_DAT7" localSheetId="51">#REF!</definedName>
    <definedName name="_DAT7">#REF!</definedName>
    <definedName name="_DAT8" localSheetId="51">#REF!</definedName>
    <definedName name="_DAT8">#REF!</definedName>
    <definedName name="_DAT9" localSheetId="51">#REF!</definedName>
    <definedName name="_DAT9">#REF!</definedName>
    <definedName name="_DDD2">#N/A</definedName>
    <definedName name="_DDD3">#N/A</definedName>
    <definedName name="_DDD4">#N/A</definedName>
    <definedName name="_DDD5">#N/A</definedName>
    <definedName name="_DEC1">'[37]LDC LU'!#REF!</definedName>
    <definedName name="_DEC2">'[37]LDC LU'!#REF!</definedName>
    <definedName name="_DOWN_9__RIGHT_" localSheetId="51">#REF!</definedName>
    <definedName name="_DOWN_9__RIGHT_">#REF!</definedName>
    <definedName name="_ELL45" localSheetId="51">#REF!</definedName>
    <definedName name="_ELL45">#REF!</definedName>
    <definedName name="_ELL90" localSheetId="51">#REF!</definedName>
    <definedName name="_ELL90">#REF!</definedName>
    <definedName name="_EMP4">#N/A</definedName>
    <definedName name="_ENR_BEST_AFT_" localSheetId="51">'[5]Financial Estimates'!$C$318</definedName>
    <definedName name="_ENR_BEST_AFT_">'[5]Financial Estimates'!$C$318</definedName>
    <definedName name="_ENR_BSES_AFT_" localSheetId="51">'[5]Financial Estimates'!$C$319</definedName>
    <definedName name="_ENR_BSES_AFT_">'[5]Financial Estimates'!$C$319</definedName>
    <definedName name="_ENR_BSES220_AFT_" localSheetId="51">'[5]Financial Estimates'!$C$320</definedName>
    <definedName name="_ENR_BSES220_AFT_">'[5]Financial Estimates'!$C$320</definedName>
    <definedName name="_ENR_TIR_AFT_" localSheetId="51">'[5]Financial Estimates'!$C$309</definedName>
    <definedName name="_ENR_TIR_AFT_">'[5]Financial Estimates'!$C$309</definedName>
    <definedName name="_f2" localSheetId="51">#REF!</definedName>
    <definedName name="_f2">#REF!</definedName>
    <definedName name="_FEB1">'[37]LDC LU'!#REF!</definedName>
    <definedName name="_FEB2">'[37]LDC LU'!#REF!</definedName>
    <definedName name="_ffr1" localSheetId="51">#REF!</definedName>
    <definedName name="_ffr1">#REF!</definedName>
    <definedName name="_ffr2">[19]자바라1!$O$10</definedName>
    <definedName name="_FFr98">'[19]#REF'!$F$29</definedName>
    <definedName name="_FFr99">'[19]#REF'!$G$29</definedName>
    <definedName name="_Fill" localSheetId="51" hidden="1">#REF!</definedName>
    <definedName name="_Fill" hidden="1">#REF!</definedName>
    <definedName name="_xlnm._FilterDatabase" localSheetId="52" hidden="1">#REF!</definedName>
    <definedName name="_xlnm._FilterDatabase" localSheetId="51" hidden="1">#REF!</definedName>
    <definedName name="_xlnm._FilterDatabase" localSheetId="15" hidden="1">'F5-6'!$B$1:$K$142</definedName>
    <definedName name="_xlnm._FilterDatabase" localSheetId="67" hidden="1">'P10'!$A$5:$F$5</definedName>
    <definedName name="_xlnm._FilterDatabase" localSheetId="1" hidden="1">#REF!</definedName>
    <definedName name="_xlnm._FilterDatabase" hidden="1">#REF!</definedName>
    <definedName name="_FRF2" localSheetId="51">#REF!</definedName>
    <definedName name="_FRF2" localSheetId="1">#REF!</definedName>
    <definedName name="_FRF2">#REF!</definedName>
    <definedName name="_FROM__R__R__08" localSheetId="51">#REF!</definedName>
    <definedName name="_FROM__R__R__08">#REF!</definedName>
    <definedName name="_FROM__R__R__16" localSheetId="51">#REF!</definedName>
    <definedName name="_FROM__R__R__16">#REF!</definedName>
    <definedName name="_G87634" localSheetId="51">#REF!</definedName>
    <definedName name="_G87634">#REF!</definedName>
    <definedName name="_GAS_CAL_VAL_" localSheetId="51">'[5]Financial Estimates'!$C$325</definedName>
    <definedName name="_GAS_CAL_VAL_">'[5]Financial Estimates'!$C$325</definedName>
    <definedName name="_GENERATION__R_" localSheetId="51">#REF!</definedName>
    <definedName name="_GENERATION__R_">#REF!</definedName>
    <definedName name="_GOTO_BT49__R__" localSheetId="51">#REF!</definedName>
    <definedName name="_GOTO_BT49__R__">#REF!</definedName>
    <definedName name="_GOTO_CF11__?__" localSheetId="51">#REF!</definedName>
    <definedName name="_GOTO_CF11__?__">#REF!</definedName>
    <definedName name="_GOTO_EO75__WEK" localSheetId="51">#REF!</definedName>
    <definedName name="_GOTO_EO75__WEK">#REF!</definedName>
    <definedName name="_GOTO_EP82__PEA" localSheetId="51">#REF!</definedName>
    <definedName name="_GOTO_EP82__PEA">#REF!</definedName>
    <definedName name="_GOTO_EP86__PER" localSheetId="51">#REF!</definedName>
    <definedName name="_GOTO_EP86__PER">#REF!</definedName>
    <definedName name="_GOTO_FO112__RV" localSheetId="51">#REF!</definedName>
    <definedName name="_GOTO_FO112__RV">#REF!</definedName>
    <definedName name="_GOTO_FO56__RV_" localSheetId="51">#REF!</definedName>
    <definedName name="_GOTO_FO56__RV_">#REF!</definedName>
    <definedName name="_hh1">'[38]설산1.나'!$A$8:$J$53</definedName>
    <definedName name="_hh2">[38]본사S!$B$10:$P$103</definedName>
    <definedName name="_HOME_" localSheetId="51">'[5]Financial Estimates'!#REF!</definedName>
    <definedName name="_HOME_">'[5]Financial Estimates'!#REF!</definedName>
    <definedName name="_HOME__GOTO_M14" localSheetId="51">#REF!</definedName>
    <definedName name="_HOME__GOTO_M14">#REF!</definedName>
    <definedName name="_HT_GR" localSheetId="51">#REF!</definedName>
    <definedName name="_HT_GR">#REF!</definedName>
    <definedName name="_HYDRO_AUX__" localSheetId="51">'[5]Financial Estimates'!$D$337</definedName>
    <definedName name="_HYDRO_AUX__">'[5]Financial Estimates'!$D$337</definedName>
    <definedName name="_IED1">#REF!</definedName>
    <definedName name="_IED2">#REF!</definedName>
    <definedName name="_JAN1">'[37]TGL LU'!#REF!</definedName>
    <definedName name="_JAN2">'[37]LDC LU'!#REF!</definedName>
    <definedName name="_JUL1">'[37]LDC LU'!#REF!</definedName>
    <definedName name="_JUL2">'[37]LDC LU'!#REF!</definedName>
    <definedName name="_JUN1">'[37]LDC LU'!#REF!</definedName>
    <definedName name="_JUN2" localSheetId="51">'[37]LDC LU'!#REF!</definedName>
    <definedName name="_JUN2">'[39]LDC LU'!#REF!</definedName>
    <definedName name="_K1" localSheetId="52">#REF!</definedName>
    <definedName name="_K1" localSheetId="51">#REF!</definedName>
    <definedName name="_K1" localSheetId="1">#REF!</definedName>
    <definedName name="_K1">#REF!</definedName>
    <definedName name="_K2" localSheetId="51">#REF!</definedName>
    <definedName name="_K2">#REF!</definedName>
    <definedName name="_K3" localSheetId="51">#REF!</definedName>
    <definedName name="_K3">#REF!</definedName>
    <definedName name="_K5" localSheetId="51">#REF!</definedName>
    <definedName name="_K5">#REF!</definedName>
    <definedName name="_K6" localSheetId="51">#REF!</definedName>
    <definedName name="_K6">#REF!</definedName>
    <definedName name="_KD10">[20]현장지지물물량!$A$8:$N$196</definedName>
    <definedName name="_KD11" localSheetId="51">[20]현장지지물물량!$1:$7</definedName>
    <definedName name="_KD11">[20]현장지지물물량!$A$1:$IV$7</definedName>
    <definedName name="_KD12">[20]현장지지물물량!$A$8:$N$196</definedName>
    <definedName name="_KD13" localSheetId="51">[20]현장지지물물량!$1:$7</definedName>
    <definedName name="_KD13">[20]현장지지물물량!$A$1:$IV$7</definedName>
    <definedName name="_KD14">[21]현장지지물물량!$A$9:$N$23</definedName>
    <definedName name="_KD15">[22]현장지지물물량!$A$9:$N$23</definedName>
    <definedName name="_KD16" localSheetId="51">[22]현장지지물물량!$1:$8</definedName>
    <definedName name="_KD16">[22]현장지지물물량!$A$1:$IV$8</definedName>
    <definedName name="_KD18">[22]현장지지물물량!$A$9:$N$23</definedName>
    <definedName name="_KD2" localSheetId="51" hidden="1">#REF!</definedName>
    <definedName name="_KD2" hidden="1">#REF!</definedName>
    <definedName name="_KD3" localSheetId="51" hidden="1">#REF!</definedName>
    <definedName name="_KD3" hidden="1">#REF!</definedName>
    <definedName name="_KD4">[20]현장지지물물량!$A$8:$N$196</definedName>
    <definedName name="_KD5" localSheetId="51">[22]현장지지물물량!$1:$8</definedName>
    <definedName name="_KD5">[22]현장지지물물량!$A$1:$IV$8</definedName>
    <definedName name="_KD6" localSheetId="51">[22]현장지지물물량!$1:$8</definedName>
    <definedName name="_KD6">[22]현장지지물물량!$A$1:$IV$8</definedName>
    <definedName name="_KD7">[22]현장지지물물량!$A$9:$N$23</definedName>
    <definedName name="_KD8">'[23]설산1.나'!$A$8:$J$53</definedName>
    <definedName name="_KD9">[23]본사S!$B$10:$P$103</definedName>
    <definedName name="_ketan" localSheetId="51" hidden="1">'[40]Eq. Mobilization'!#REF!</definedName>
    <definedName name="_ketan" hidden="1">'[40]Eq. Mobilization'!#REF!</definedName>
    <definedName name="_Key1" localSheetId="52" hidden="1">#REF!</definedName>
    <definedName name="_Key1" localSheetId="51" hidden="1">#REF!</definedName>
    <definedName name="_Key1" localSheetId="1" hidden="1">#REF!</definedName>
    <definedName name="_Key1" hidden="1">#REF!</definedName>
    <definedName name="_Key2" localSheetId="51" hidden="1">#REF!</definedName>
    <definedName name="_Key2" hidden="1">#REF!</definedName>
    <definedName name="_KK1" localSheetId="51" hidden="1">#REF!</definedName>
    <definedName name="_KK1" hidden="1">#REF!</definedName>
    <definedName name="_KK2" localSheetId="51" hidden="1">#REF!</definedName>
    <definedName name="_KK2" hidden="1">#REF!</definedName>
    <definedName name="_KK3" localSheetId="51" hidden="1">#REF!</definedName>
    <definedName name="_KK3" hidden="1">#REF!</definedName>
    <definedName name="_LD1" localSheetId="51">[3]DLC!$K$59:$AF$8180</definedName>
    <definedName name="_LD1">[41]DLC!$K$59:$AF$8180</definedName>
    <definedName name="_LD2" localSheetId="51">[3]DLC!$GR$56:$HT$8181</definedName>
    <definedName name="_LD2">[41]DLC!$GR$56:$HT$8181</definedName>
    <definedName name="_LD3" localSheetId="51">[3]DLC!$HV$57:$IO$8181</definedName>
    <definedName name="_LD3">[41]DLC!$HV$57:$IO$8181</definedName>
    <definedName name="_LD4" localSheetId="51">[3]DLC!$AH$32:$BE$8180</definedName>
    <definedName name="_LD4">[41]DLC!$AH$32:$BE$8180</definedName>
    <definedName name="_LD5" localSheetId="51">[3]DLC!$GR$53:$HK$8180</definedName>
    <definedName name="_LD5">[41]DLC!$GR$53:$HK$8180</definedName>
    <definedName name="_LD6" localSheetId="51">[3]DLC!$GR$69:$HL$8180</definedName>
    <definedName name="_LD6">[41]DLC!$GR$69:$HL$8180</definedName>
    <definedName name="_LL1" localSheetId="52">#REF!</definedName>
    <definedName name="_LL1" localSheetId="51">#REF!</definedName>
    <definedName name="_LL1" localSheetId="1">#REF!</definedName>
    <definedName name="_LL1">#REF!</definedName>
    <definedName name="_LL2" localSheetId="51">#REF!</definedName>
    <definedName name="_LL2">#REF!</definedName>
    <definedName name="_LL3" localSheetId="51">#REF!</definedName>
    <definedName name="_LL3">#REF!</definedName>
    <definedName name="_LL4" localSheetId="51">#REF!</definedName>
    <definedName name="_LL4">#REF!</definedName>
    <definedName name="_LL5" localSheetId="51">#REF!</definedName>
    <definedName name="_LL5">#REF!</definedName>
    <definedName name="_LR1">#REF!</definedName>
    <definedName name="_LR2">#REF!</definedName>
    <definedName name="_LSHS_CAL_VAL_" localSheetId="51">'[5]Financial Estimates'!$C$326</definedName>
    <definedName name="_LSHS_CAL_VAL_">'[5]Financial Estimates'!$C$326</definedName>
    <definedName name="_LT1P_GR" localSheetId="51">#REF!</definedName>
    <definedName name="_LT1P_GR">#REF!</definedName>
    <definedName name="_LT2P_GR" localSheetId="51">#REF!</definedName>
    <definedName name="_LT2P_GR">#REF!</definedName>
    <definedName name="_MAR1">'[37]TGL LU'!#REF!</definedName>
    <definedName name="_MAR2">'[37]LDC LU'!#REF!</definedName>
    <definedName name="_MAY2">'[37]LDC LU'!#REF!</definedName>
    <definedName name="_MDR_BEST_AFT_" localSheetId="51">'[5]Financial Estimates'!$C$304</definedName>
    <definedName name="_MDR_BEST_AFT_">'[5]Financial Estimates'!$C$304</definedName>
    <definedName name="_MDR_BSES_AFT_" localSheetId="51">'[5]Financial Estimates'!$C$305</definedName>
    <definedName name="_MDR_BSES_AFT_">'[5]Financial Estimates'!$C$305</definedName>
    <definedName name="_MDR_TIR_AFT_" localSheetId="51">'[5]Financial Estimates'!$C$298</definedName>
    <definedName name="_MDR_TIR_AFT_">'[5]Financial Estimates'!$C$298</definedName>
    <definedName name="_MPR1">#N/A</definedName>
    <definedName name="_MPR2">#N/A</definedName>
    <definedName name="_MPR3">#N/A</definedName>
    <definedName name="_nh1" localSheetId="51">'[24]Fixed Charge'!#REF!</definedName>
    <definedName name="_nh1">'[24]Fixed Charge'!#REF!</definedName>
    <definedName name="_nis3" localSheetId="51" hidden="1">#REF!</definedName>
    <definedName name="_nis3" hidden="1">#REF!</definedName>
    <definedName name="_NOV1">'[37]LDC LU'!#REF!</definedName>
    <definedName name="_NOV2">'[37]LDC LU'!#REF!</definedName>
    <definedName name="_OCT1" localSheetId="51">'[37]LDC LU'!#REF!</definedName>
    <definedName name="_OCT1">'[39]LDC LU'!#REF!</definedName>
    <definedName name="_OCT2" localSheetId="51">'[37]LDC LU'!#REF!</definedName>
    <definedName name="_OCT2">'[39]LDC LU'!#REF!</definedName>
    <definedName name="_Order1" hidden="1">255</definedName>
    <definedName name="_Order2" localSheetId="51" hidden="1">255</definedName>
    <definedName name="_Order2" hidden="1">255</definedName>
    <definedName name="_p1" localSheetId="51" hidden="1">{#N/A,#N/A,FALSE,"Form 1.1";#N/A,#N/A,FALSE,"Sch-VI";#N/A,#N/A,FALSE,"Form 1.1a";#N/A,#N/A,FALSE,"1.1b";#N/A,#N/A,FALSE,"1.1 c";#N/A,#N/A,FALSE,"1.1d";#N/A,#N/A,FALSE,"1.1e";#N/A,#N/A,FALSE,"1.1f";#N/A,#N/A,FALSE,"Capitalisation";#N/A,#N/A,FALSE,"Invt.Plan";#N/A,#N/A,FALSE,"1.1g";#N/A,#N/A,FALSE,"Other Lease";#N/A,#N/A,FALSE,"1.1h";#N/A,#N/A,FALSE,"1.1i";#N/A,#N/A,FALSE,"1.2";#N/A,#N/A,FALSE,"1.3";#N/A,#N/A,FALSE,"1.3b";#N/A,#N/A,FALSE,"1.3c";#N/A,#N/A,FALSE,"1.3d";#N/A,#N/A,FALSE,"1.3e";#N/A,#N/A,FALSE,"1.4";#N/A,#N/A,FALSE,"1.5";#N/A,#N/A,FALSE,"1.6";#N/A,#N/A,FALSE,"2.1 (transco)";#N/A,#N/A,FALSE,"2.1(Discoms)";#N/A,#N/A,FALSE,"4.1 (Transco)";#N/A,#N/A,FALSE,"4.1 (Discoms)";#N/A,#N/A,FALSE,"4.2 (Transco)";#N/A,#N/A,FALSE,"4.2 (Discoms)";#N/A,#N/A,FALSE,"Load Shedding";#N/A,#N/A,FALSE,"Overloading";#N/A,#N/A,FALSE,"Recvbls-Ageing";#N/A,#N/A,FALSE,"Pending . Conn"}</definedName>
    <definedName name="_p1">#REF!</definedName>
    <definedName name="_p13" localSheetId="52" hidden="1">{#N/A,#N/A,FALSE,"Form 1.1";#N/A,#N/A,FALSE,"Sch-VI";#N/A,#N/A,FALSE,"Form 1.1a";#N/A,#N/A,FALSE,"1.1b";#N/A,#N/A,FALSE,"1.1 c";#N/A,#N/A,FALSE,"1.1d";#N/A,#N/A,FALSE,"1.1e";#N/A,#N/A,FALSE,"1.1f";#N/A,#N/A,FALSE,"Capitalisation";#N/A,#N/A,FALSE,"Invt.Plan";#N/A,#N/A,FALSE,"1.1g";#N/A,#N/A,FALSE,"Other Lease";#N/A,#N/A,FALSE,"1.1h";#N/A,#N/A,FALSE,"1.1i";#N/A,#N/A,FALSE,"1.2";#N/A,#N/A,FALSE,"1.3";#N/A,#N/A,FALSE,"1.3b";#N/A,#N/A,FALSE,"1.3c";#N/A,#N/A,FALSE,"1.3d";#N/A,#N/A,FALSE,"1.3e";#N/A,#N/A,FALSE,"1.4";#N/A,#N/A,FALSE,"1.5";#N/A,#N/A,FALSE,"1.6";#N/A,#N/A,FALSE,"2.1 (transco)";#N/A,#N/A,FALSE,"2.1(Discoms)";#N/A,#N/A,FALSE,"4.1 (Transco)";#N/A,#N/A,FALSE,"4.1 (Discoms)";#N/A,#N/A,FALSE,"4.2 (Transco)";#N/A,#N/A,FALSE,"4.2 (Discoms)";#N/A,#N/A,FALSE,"Load Shedding";#N/A,#N/A,FALSE,"Overloading";#N/A,#N/A,FALSE,"Recvbls-Ageing";#N/A,#N/A,FALSE,"Pending . Conn"}</definedName>
    <definedName name="_p13" localSheetId="51" hidden="1">{#N/A,#N/A,FALSE,"Form 1.1";#N/A,#N/A,FALSE,"Sch-VI";#N/A,#N/A,FALSE,"Form 1.1a";#N/A,#N/A,FALSE,"1.1b";#N/A,#N/A,FALSE,"1.1 c";#N/A,#N/A,FALSE,"1.1d";#N/A,#N/A,FALSE,"1.1e";#N/A,#N/A,FALSE,"1.1f";#N/A,#N/A,FALSE,"Capitalisation";#N/A,#N/A,FALSE,"Invt.Plan";#N/A,#N/A,FALSE,"1.1g";#N/A,#N/A,FALSE,"Other Lease";#N/A,#N/A,FALSE,"1.1h";#N/A,#N/A,FALSE,"1.1i";#N/A,#N/A,FALSE,"1.2";#N/A,#N/A,FALSE,"1.3";#N/A,#N/A,FALSE,"1.3b";#N/A,#N/A,FALSE,"1.3c";#N/A,#N/A,FALSE,"1.3d";#N/A,#N/A,FALSE,"1.3e";#N/A,#N/A,FALSE,"1.4";#N/A,#N/A,FALSE,"1.5";#N/A,#N/A,FALSE,"1.6";#N/A,#N/A,FALSE,"2.1 (transco)";#N/A,#N/A,FALSE,"2.1(Discoms)";#N/A,#N/A,FALSE,"4.1 (Transco)";#N/A,#N/A,FALSE,"4.1 (Discoms)";#N/A,#N/A,FALSE,"4.2 (Transco)";#N/A,#N/A,FALSE,"4.2 (Discoms)";#N/A,#N/A,FALSE,"Load Shedding";#N/A,#N/A,FALSE,"Overloading";#N/A,#N/A,FALSE,"Recvbls-Ageing";#N/A,#N/A,FALSE,"Pending . Conn"}</definedName>
    <definedName name="_p13" localSheetId="1" hidden="1">{#N/A,#N/A,FALSE,"Form 1.1";#N/A,#N/A,FALSE,"Sch-VI";#N/A,#N/A,FALSE,"Form 1.1a";#N/A,#N/A,FALSE,"1.1b";#N/A,#N/A,FALSE,"1.1 c";#N/A,#N/A,FALSE,"1.1d";#N/A,#N/A,FALSE,"1.1e";#N/A,#N/A,FALSE,"1.1f";#N/A,#N/A,FALSE,"Capitalisation";#N/A,#N/A,FALSE,"Invt.Plan";#N/A,#N/A,FALSE,"1.1g";#N/A,#N/A,FALSE,"Other Lease";#N/A,#N/A,FALSE,"1.1h";#N/A,#N/A,FALSE,"1.1i";#N/A,#N/A,FALSE,"1.2";#N/A,#N/A,FALSE,"1.3";#N/A,#N/A,FALSE,"1.3b";#N/A,#N/A,FALSE,"1.3c";#N/A,#N/A,FALSE,"1.3d";#N/A,#N/A,FALSE,"1.3e";#N/A,#N/A,FALSE,"1.4";#N/A,#N/A,FALSE,"1.5";#N/A,#N/A,FALSE,"1.6";#N/A,#N/A,FALSE,"2.1 (transco)";#N/A,#N/A,FALSE,"2.1(Discoms)";#N/A,#N/A,FALSE,"4.1 (Transco)";#N/A,#N/A,FALSE,"4.1 (Discoms)";#N/A,#N/A,FALSE,"4.2 (Transco)";#N/A,#N/A,FALSE,"4.2 (Discoms)";#N/A,#N/A,FALSE,"Load Shedding";#N/A,#N/A,FALSE,"Overloading";#N/A,#N/A,FALSE,"Recvbls-Ageing";#N/A,#N/A,FALSE,"Pending . Conn"}</definedName>
    <definedName name="_p13" hidden="1">{#N/A,#N/A,FALSE,"Form 1.1";#N/A,#N/A,FALSE,"Sch-VI";#N/A,#N/A,FALSE,"Form 1.1a";#N/A,#N/A,FALSE,"1.1b";#N/A,#N/A,FALSE,"1.1 c";#N/A,#N/A,FALSE,"1.1d";#N/A,#N/A,FALSE,"1.1e";#N/A,#N/A,FALSE,"1.1f";#N/A,#N/A,FALSE,"Capitalisation";#N/A,#N/A,FALSE,"Invt.Plan";#N/A,#N/A,FALSE,"1.1g";#N/A,#N/A,FALSE,"Other Lease";#N/A,#N/A,FALSE,"1.1h";#N/A,#N/A,FALSE,"1.1i";#N/A,#N/A,FALSE,"1.2";#N/A,#N/A,FALSE,"1.3";#N/A,#N/A,FALSE,"1.3b";#N/A,#N/A,FALSE,"1.3c";#N/A,#N/A,FALSE,"1.3d";#N/A,#N/A,FALSE,"1.3e";#N/A,#N/A,FALSE,"1.4";#N/A,#N/A,FALSE,"1.5";#N/A,#N/A,FALSE,"1.6";#N/A,#N/A,FALSE,"2.1 (transco)";#N/A,#N/A,FALSE,"2.1(Discoms)";#N/A,#N/A,FALSE,"4.1 (Transco)";#N/A,#N/A,FALSE,"4.1 (Discoms)";#N/A,#N/A,FALSE,"4.2 (Transco)";#N/A,#N/A,FALSE,"4.2 (Discoms)";#N/A,#N/A,FALSE,"Load Shedding";#N/A,#N/A,FALSE,"Overloading";#N/A,#N/A,FALSE,"Recvbls-Ageing";#N/A,#N/A,FALSE,"Pending . Conn"}</definedName>
    <definedName name="_p2" localSheetId="51">#REF!</definedName>
    <definedName name="_p2">#REF!</definedName>
    <definedName name="_P21" localSheetId="51">#REF!</definedName>
    <definedName name="_P21">#REF!</definedName>
    <definedName name="_P22" localSheetId="51">#REF!</definedName>
    <definedName name="_P22">#REF!</definedName>
    <definedName name="_p3" localSheetId="51">#REF!</definedName>
    <definedName name="_p3">#REF!</definedName>
    <definedName name="_P31" localSheetId="51">#REF!</definedName>
    <definedName name="_P31">#REF!</definedName>
    <definedName name="_P32" localSheetId="51">#REF!</definedName>
    <definedName name="_P32">#REF!</definedName>
    <definedName name="_P33" localSheetId="51">#REF!</definedName>
    <definedName name="_P33">#REF!</definedName>
    <definedName name="_P34" localSheetId="51">#REF!</definedName>
    <definedName name="_P34">#REF!</definedName>
    <definedName name="_Parse_In" localSheetId="51" hidden="1">#REF!</definedName>
    <definedName name="_Parse_In" hidden="1">#REF!</definedName>
    <definedName name="_Parse_Out" localSheetId="51" hidden="1">#REF!</definedName>
    <definedName name="_Parse_Out" hidden="1">#REF!</definedName>
    <definedName name="_PC1" localSheetId="51">#REF!</definedName>
    <definedName name="_PC1">#REF!</definedName>
    <definedName name="_PG1" localSheetId="51">'[5]Financial Estimates'!$A$7:$B$108</definedName>
    <definedName name="_PG1">'[5]Financial Estimates'!$A$7:$B$108</definedName>
    <definedName name="_PG2" localSheetId="51">#REF!</definedName>
    <definedName name="_PG2">#REF!</definedName>
    <definedName name="_PG3" localSheetId="51">#REF!</definedName>
    <definedName name="_PG3">#REF!</definedName>
    <definedName name="_PG5" localSheetId="51">'[5]Financial Estimates'!$A$271:$D$342</definedName>
    <definedName name="_PG5">'[5]Financial Estimates'!$A$271:$D$342</definedName>
    <definedName name="_pg6" localSheetId="51">'[6]Financial Estimates'!$A$271:$D$342</definedName>
    <definedName name="_pg6">'[6]Financial Estimates'!$A$271:$D$342</definedName>
    <definedName name="_pg7" localSheetId="51">'[6]Financial Estimates'!#REF!</definedName>
    <definedName name="_pg7">'[6]Financial Estimates'!#REF!</definedName>
    <definedName name="_PH1">#N/A</definedName>
    <definedName name="_PLF__R__R___ES" localSheetId="51">#REF!</definedName>
    <definedName name="_PLF__R__R___ES">#REF!</definedName>
    <definedName name="_QTY1">#N/A</definedName>
    <definedName name="_QTY2">#N/A</definedName>
    <definedName name="_QTY3">#N/A</definedName>
    <definedName name="_QTY4">#N/A</definedName>
    <definedName name="_RE100" localSheetId="51">#REF!</definedName>
    <definedName name="_RE100">#REF!</definedName>
    <definedName name="_RE104" localSheetId="51">#REF!</definedName>
    <definedName name="_RE104">#REF!</definedName>
    <definedName name="_RE112" localSheetId="51">#REF!</definedName>
    <definedName name="_RE112">#REF!</definedName>
    <definedName name="_RE26" localSheetId="51">#REF!</definedName>
    <definedName name="_RE26">#REF!</definedName>
    <definedName name="_RE28" localSheetId="51">#REF!</definedName>
    <definedName name="_RE28">#REF!</definedName>
    <definedName name="_RE30" localSheetId="51">#REF!</definedName>
    <definedName name="_RE30">#REF!</definedName>
    <definedName name="_RE32" localSheetId="51">#REF!</definedName>
    <definedName name="_RE32">#REF!</definedName>
    <definedName name="_RE34" localSheetId="51">#REF!</definedName>
    <definedName name="_RE34">#REF!</definedName>
    <definedName name="_RE36" localSheetId="51">#REF!</definedName>
    <definedName name="_RE36">#REF!</definedName>
    <definedName name="_RE38" localSheetId="51">#REF!</definedName>
    <definedName name="_RE38">#REF!</definedName>
    <definedName name="_RE40" localSheetId="51">#REF!</definedName>
    <definedName name="_RE40">#REF!</definedName>
    <definedName name="_RE42" localSheetId="51">#REF!</definedName>
    <definedName name="_RE42">#REF!</definedName>
    <definedName name="_RE44" localSheetId="51">#REF!</definedName>
    <definedName name="_RE44">#REF!</definedName>
    <definedName name="_RE48" localSheetId="51">#REF!</definedName>
    <definedName name="_RE48">#REF!</definedName>
    <definedName name="_RE52" localSheetId="51">#REF!</definedName>
    <definedName name="_RE52">#REF!</definedName>
    <definedName name="_RE56" localSheetId="51">#REF!</definedName>
    <definedName name="_RE56">#REF!</definedName>
    <definedName name="_RE60" localSheetId="51">#REF!</definedName>
    <definedName name="_RE60">#REF!</definedName>
    <definedName name="_RE64" localSheetId="51">#REF!</definedName>
    <definedName name="_RE64">#REF!</definedName>
    <definedName name="_RE68" localSheetId="51">#REF!</definedName>
    <definedName name="_RE68">#REF!</definedName>
    <definedName name="_RE72" localSheetId="51">#REF!</definedName>
    <definedName name="_RE72">#REF!</definedName>
    <definedName name="_RE76" localSheetId="51">#REF!</definedName>
    <definedName name="_RE76">#REF!</definedName>
    <definedName name="_RE80" localSheetId="51">#REF!</definedName>
    <definedName name="_RE80">#REF!</definedName>
    <definedName name="_RE88" localSheetId="51">#REF!</definedName>
    <definedName name="_RE88">#REF!</definedName>
    <definedName name="_RE92" localSheetId="51">#REF!</definedName>
    <definedName name="_RE92">#REF!</definedName>
    <definedName name="_RE96" localSheetId="51">#REF!</definedName>
    <definedName name="_RE96">#REF!</definedName>
    <definedName name="_Regression_Int" hidden="1">1</definedName>
    <definedName name="_RES_GR" localSheetId="51">#REF!</definedName>
    <definedName name="_RES_GR">#REF!</definedName>
    <definedName name="_RLY_GR" localSheetId="51">#REF!</definedName>
    <definedName name="_RLY_GR">#REF!</definedName>
    <definedName name="_RMK1">#N/A</definedName>
    <definedName name="_RMK2">#N/A</definedName>
    <definedName name="_RR11" localSheetId="51">#REF!</definedName>
    <definedName name="_RR11">#REF!</definedName>
    <definedName name="_RR12" localSheetId="51">#REF!</definedName>
    <definedName name="_RR12">#REF!</definedName>
    <definedName name="_RR13" localSheetId="51">#REF!</definedName>
    <definedName name="_RR13">#REF!</definedName>
    <definedName name="_RR14" localSheetId="51">#REF!</definedName>
    <definedName name="_RR14">#REF!</definedName>
    <definedName name="_RR15" localSheetId="51">#REF!</definedName>
    <definedName name="_RR15">#REF!</definedName>
    <definedName name="_RV_DOWN_6__LEF" localSheetId="51">#REF!</definedName>
    <definedName name="_RV_DOWN_6__LEF">#REF!</definedName>
    <definedName name="_SCH6" localSheetId="51">'[17]04REL'!#REF!</definedName>
    <definedName name="_SCH6">'[16]04REL'!#REF!</definedName>
    <definedName name="_SEP1" localSheetId="51">'[37]LDC LU'!#REF!</definedName>
    <definedName name="_SEP1">'[39]LDC LU'!#REF!</definedName>
    <definedName name="_SEP2" localSheetId="51">'[37]LDC LU'!#REF!</definedName>
    <definedName name="_SEP2">'[39]LDC LU'!#REF!</definedName>
    <definedName name="_SH1">'[42]Executive Summary -Thermal'!$A$4:$H$108</definedName>
    <definedName name="_SH10" localSheetId="51">'[36]Executive Summary -Thermal'!$A$4:$G$118</definedName>
    <definedName name="_SH10">'[42]Executive Summary -Thermal'!$A$4:$G$118</definedName>
    <definedName name="_SH11" localSheetId="51">'[36]Executive Summary -Thermal'!$A$4:$H$167</definedName>
    <definedName name="_SH11">'[42]Executive Summary -Thermal'!$A$4:$H$167</definedName>
    <definedName name="_SH2" localSheetId="51">'[36]Executive Summary -Thermal'!$A$4:$H$157</definedName>
    <definedName name="_SH2">'[42]Executive Summary -Thermal'!$A$4:$H$157</definedName>
    <definedName name="_SH3" localSheetId="51">'[36]Executive Summary -Thermal'!$A$4:$H$136</definedName>
    <definedName name="_SH3">'[42]Executive Summary -Thermal'!$A$4:$H$136</definedName>
    <definedName name="_SH4" localSheetId="51">'[36]Executive Summary -Thermal'!$A$4:$H$96</definedName>
    <definedName name="_SH4">'[42]Executive Summary -Thermal'!$A$4:$H$96</definedName>
    <definedName name="_SH5" localSheetId="51">'[36]Executive Summary -Thermal'!$A$4:$H$96</definedName>
    <definedName name="_SH5">'[42]Executive Summary -Thermal'!$A$4:$H$96</definedName>
    <definedName name="_SH6" localSheetId="51">'[36]Executive Summary -Thermal'!$A$4:$H$95</definedName>
    <definedName name="_SH6">'[42]Executive Summary -Thermal'!$A$4:$H$95</definedName>
    <definedName name="_SH7" localSheetId="51">'[36]Executive Summary -Thermal'!$A$4:$H$163</definedName>
    <definedName name="_SH7">'[42]Executive Summary -Thermal'!$A$4:$H$163</definedName>
    <definedName name="_SH8" localSheetId="51">'[36]Executive Summary -Thermal'!$A$4:$H$133</definedName>
    <definedName name="_SH8">'[42]Executive Summary -Thermal'!$A$4:$H$133</definedName>
    <definedName name="_SH9" localSheetId="51">'[36]Executive Summary -Thermal'!$A$4:$H$194</definedName>
    <definedName name="_SH9">'[42]Executive Summary -Thermal'!$A$4:$H$194</definedName>
    <definedName name="_Sort" localSheetId="52" hidden="1">#REF!</definedName>
    <definedName name="_Sort" localSheetId="51" hidden="1">#REF!</definedName>
    <definedName name="_Sort" localSheetId="1" hidden="1">#REF!</definedName>
    <definedName name="_Sort" hidden="1">#REF!</definedName>
    <definedName name="_SSS1" localSheetId="51">#REF!</definedName>
    <definedName name="_SSS1">#REF!</definedName>
    <definedName name="_SSS2">[27]현장지지물물량!$A$9:$N$23</definedName>
    <definedName name="_SUM_DI14..DI21" localSheetId="51">#REF!</definedName>
    <definedName name="_SUM_DI14..DI21">#REF!</definedName>
    <definedName name="_SUM_DI22..DI29" localSheetId="51">#REF!</definedName>
    <definedName name="_SUM_DI22..DI29">#REF!</definedName>
    <definedName name="_SUP1">[43]PP!$E$8</definedName>
    <definedName name="_T_D_LOSS__" localSheetId="51">'[5]Financial Estimates'!$C$342</definedName>
    <definedName name="_T_D_LOSS__">'[5]Financial Estimates'!$C$342</definedName>
    <definedName name="_TAXBL_SLS__" localSheetId="51">'[5]Financial Estimates'!$C$339</definedName>
    <definedName name="_TAXBL_SLS__">'[5]Financial Estimates'!$C$339</definedName>
    <definedName name="_TOS_RATE_" localSheetId="51">'[5]Financial Estimates'!$C$340</definedName>
    <definedName name="_TOS_RATE_">'[5]Financial Estimates'!$C$340</definedName>
    <definedName name="_TP4">#REF!,#REF!</definedName>
    <definedName name="_TST_GR" localSheetId="51">#REF!</definedName>
    <definedName name="_TST_GR">#REF!</definedName>
    <definedName name="_TXT_GR" localSheetId="51">#REF!</definedName>
    <definedName name="_TXT_GR">#REF!</definedName>
    <definedName name="_U__END__U__D__" localSheetId="51">#REF!</definedName>
    <definedName name="_U__END__U__D__">#REF!</definedName>
    <definedName name="_U__U__END__U__" localSheetId="51">#REF!</definedName>
    <definedName name="_U__U__END__U__">#REF!</definedName>
    <definedName name="_U__U__U__U__U_" localSheetId="51">#REF!</definedName>
    <definedName name="_U__U__U__U__U_">#REF!</definedName>
    <definedName name="_U_4_AUX__" localSheetId="51">'[5]Financial Estimates'!$D$332</definedName>
    <definedName name="_U_4_AUX__">'[5]Financial Estimates'!$D$332</definedName>
    <definedName name="_U_4_HT_RT_" localSheetId="51">'[5]Financial Estimates'!$C$332</definedName>
    <definedName name="_U_4_HT_RT_">'[5]Financial Estimates'!$C$332</definedName>
    <definedName name="_U_5_AUX__" localSheetId="51">'[5]Financial Estimates'!$D$333</definedName>
    <definedName name="_U_5_AUX__">'[5]Financial Estimates'!$D$333</definedName>
    <definedName name="_U_5_HT_RT_" localSheetId="51">'[5]Financial Estimates'!$C$333</definedName>
    <definedName name="_U_5_HT_RT_">'[5]Financial Estimates'!$C$333</definedName>
    <definedName name="_U_6_AUX__" localSheetId="51">'[5]Financial Estimates'!$D$334</definedName>
    <definedName name="_U_6_AUX__">'[5]Financial Estimates'!$D$334</definedName>
    <definedName name="_U_6_HT_RT_" localSheetId="51">'[5]Financial Estimates'!$C$334</definedName>
    <definedName name="_U_6_HT_RT_">'[5]Financial Estimates'!$C$334</definedName>
    <definedName name="_U_7CCPP_AUX__" localSheetId="51">'[5]Financial Estimates'!$D$336</definedName>
    <definedName name="_U_7CCPP_AUX__">'[5]Financial Estimates'!$D$336</definedName>
    <definedName name="_U_7CCPP_HT_RT_" localSheetId="51">'[5]Financial Estimates'!$C$336</definedName>
    <definedName name="_U_7CCPP_HT_RT_">'[5]Financial Estimates'!$C$336</definedName>
    <definedName name="_U_7GT_AUX__" localSheetId="51">'[5]Financial Estimates'!$D$335</definedName>
    <definedName name="_U_7GT_AUX__">'[5]Financial Estimates'!$D$335</definedName>
    <definedName name="_U_7GT_HT_RT_" localSheetId="51">'[5]Financial Estimates'!$C$335</definedName>
    <definedName name="_U_7GT_HT_RT_">'[5]Financial Estimates'!$C$335</definedName>
    <definedName name="_USD1">'[19]#REF'!$E$26</definedName>
    <definedName name="_USD2">'[19]#REF'!$F$26</definedName>
    <definedName name="_USD3">'[19]#REF'!$G$26</definedName>
    <definedName name="_w123" localSheetId="52" hidden="1">{"Edition",#N/A,FALSE,"Data"}</definedName>
    <definedName name="_w123" localSheetId="51" hidden="1">{"Edition",#N/A,FALSE,"Data"}</definedName>
    <definedName name="_w123" localSheetId="1" hidden="1">{"Edition",#N/A,FALSE,"Data"}</definedName>
    <definedName name="_w123" hidden="1">{"Edition",#N/A,FALSE,"Data"}</definedName>
    <definedName name="_WGPD_GOTO_CO10" localSheetId="51">#REF!</definedName>
    <definedName name="_WGPD_GOTO_CO10">#REF!</definedName>
    <definedName name="_za1" localSheetId="51">#REF!</definedName>
    <definedName name="_za1">#REF!</definedName>
    <definedName name="_za2" localSheetId="51">#REF!</definedName>
    <definedName name="_za2">#REF!</definedName>
    <definedName name="_zz1" localSheetId="51">#REF!</definedName>
    <definedName name="_zz1">#REF!</definedName>
    <definedName name="A" localSheetId="51">#REF!</definedName>
    <definedName name="A">#REF!</definedName>
    <definedName name="A.C._ES_TA" localSheetId="51">#REF!</definedName>
    <definedName name="A.C._ES_TA">#REF!</definedName>
    <definedName name="A.C._ES_TD" localSheetId="51">#REF!</definedName>
    <definedName name="A.C._ES_TD">#REF!</definedName>
    <definedName name="A￢_·¹_AO">#N/A</definedName>
    <definedName name="A1_">#N/A</definedName>
    <definedName name="A10_">#N/A</definedName>
    <definedName name="A11_">#N/A</definedName>
    <definedName name="A12_">#N/A</definedName>
    <definedName name="A2_">#N/A</definedName>
    <definedName name="A3_">#N/A</definedName>
    <definedName name="A4_">#N/A</definedName>
    <definedName name="A5_">#N/A</definedName>
    <definedName name="A6_">#N/A</definedName>
    <definedName name="A7_">#N/A</definedName>
    <definedName name="A8_">#N/A</definedName>
    <definedName name="A9_">#N/A</definedName>
    <definedName name="AA">[44]현장지지물물량!$A$8:$N$196</definedName>
    <definedName name="AAA" localSheetId="52" hidden="1">#REF!</definedName>
    <definedName name="AAA" localSheetId="51" hidden="1">#REF!</definedName>
    <definedName name="AAA" localSheetId="1" hidden="1">#REF!</definedName>
    <definedName name="AAA" hidden="1">#REF!</definedName>
    <definedName name="aaaaaaa333333">[18]Notes!$A$61</definedName>
    <definedName name="aaaaaaaaaaaa">[18]Notes!$A$8</definedName>
    <definedName name="aaaaaaaaaaaaaadddddd" localSheetId="52">#REF!</definedName>
    <definedName name="aaaaaaaaaaaaaadddddd" localSheetId="1">#REF!</definedName>
    <definedName name="aaaaaaaaaaaaaadddddd">#REF!</definedName>
    <definedName name="aaassssggg" localSheetId="52">#REF!</definedName>
    <definedName name="aaassssggg" localSheetId="1">#REF!</definedName>
    <definedName name="aaassssggg">#REF!</definedName>
    <definedName name="aæÐRIiÞA_Iª">#N/A</definedName>
    <definedName name="ab" localSheetId="52">#REF!</definedName>
    <definedName name="ab" localSheetId="1">#REF!</definedName>
    <definedName name="ab">#REF!</definedName>
    <definedName name="ABC" localSheetId="52" hidden="1">'[40]Eq. Mobilization'!#REF!</definedName>
    <definedName name="ABC" localSheetId="51" hidden="1">'[40]Eq. Mobilization'!#REF!</definedName>
    <definedName name="ABC" localSheetId="1" hidden="1">'[40]Eq. Mobilization'!#REF!</definedName>
    <definedName name="ABC" hidden="1">'[40]Eq. Mobilization'!#REF!</definedName>
    <definedName name="abd" localSheetId="52" hidden="1">'[31]BREAKUP OF OIL'!#REF!</definedName>
    <definedName name="abd" localSheetId="1" hidden="1">'[31]BREAKUP OF OIL'!#REF!</definedName>
    <definedName name="abd" hidden="1">'[31]BREAKUP OF OIL'!#REF!</definedName>
    <definedName name="ABILDQTY">#N/A</definedName>
    <definedName name="ABILDQTYNU">#N/A</definedName>
    <definedName name="ABILDTWT">#N/A</definedName>
    <definedName name="ABILDTWTNU">#N/A</definedName>
    <definedName name="AC">[45]PSP1!$C$59</definedName>
    <definedName name="Access_Button" hidden="1">"PJTFINAL_F02F11_List"</definedName>
    <definedName name="AccessDatabase" hidden="1">"C:\jhp2\JHP\AES\PJTFINAL.mdb"</definedName>
    <definedName name="ACD">[45]PsDataEntry!$B$169</definedName>
    <definedName name="achscs" localSheetId="52">#REF!</definedName>
    <definedName name="achscs" localSheetId="51">#REF!</definedName>
    <definedName name="achscs" localSheetId="1">#REF!</definedName>
    <definedName name="achscs">#REF!</definedName>
    <definedName name="AD">[46]PSP1!$C$59</definedName>
    <definedName name="ADD_IN_VERSION" localSheetId="52">#REF!</definedName>
    <definedName name="ADD_IN_VERSION" localSheetId="51">#REF!</definedName>
    <definedName name="ADD_IN_VERSION" localSheetId="1">#REF!</definedName>
    <definedName name="ADD_IN_VERSION">#REF!</definedName>
    <definedName name="ADITION" localSheetId="52" hidden="1">{"'장비'!$A$3:$M$12"}</definedName>
    <definedName name="ADITION" localSheetId="51" hidden="1">{"'장비'!$A$3:$M$12"}</definedName>
    <definedName name="ADITION" localSheetId="1" hidden="1">{"'장비'!$A$3:$M$12"}</definedName>
    <definedName name="ADITION" hidden="1">{"'장비'!$A$3:$M$12"}</definedName>
    <definedName name="ADL.63">[47]Addl.40!$A$38:$I$284</definedName>
    <definedName name="AEGCL" localSheetId="52" hidden="1">{#N/A,#N/A,FALSE,"Form 1.1";#N/A,#N/A,FALSE,"Sch-VI";#N/A,#N/A,FALSE,"Form 1.1a";#N/A,#N/A,FALSE,"1.1b";#N/A,#N/A,FALSE,"1.1 c";#N/A,#N/A,FALSE,"1.1d";#N/A,#N/A,FALSE,"1.1e";#N/A,#N/A,FALSE,"1.1f";#N/A,#N/A,FALSE,"Capitalisation";#N/A,#N/A,FALSE,"Invt.Plan";#N/A,#N/A,FALSE,"1.1g";#N/A,#N/A,FALSE,"Other Lease";#N/A,#N/A,FALSE,"1.1h";#N/A,#N/A,FALSE,"1.1i";#N/A,#N/A,FALSE,"1.2";#N/A,#N/A,FALSE,"1.3";#N/A,#N/A,FALSE,"1.3b";#N/A,#N/A,FALSE,"1.3c";#N/A,#N/A,FALSE,"1.3d";#N/A,#N/A,FALSE,"1.3e";#N/A,#N/A,FALSE,"1.4";#N/A,#N/A,FALSE,"1.5";#N/A,#N/A,FALSE,"1.6";#N/A,#N/A,FALSE,"2.1 (transco)";#N/A,#N/A,FALSE,"2.1(Discoms)";#N/A,#N/A,FALSE,"4.1 (Transco)";#N/A,#N/A,FALSE,"4.1 (Discoms)";#N/A,#N/A,FALSE,"4.2 (Transco)";#N/A,#N/A,FALSE,"4.2 (Discoms)";#N/A,#N/A,FALSE,"Load Shedding";#N/A,#N/A,FALSE,"Overloading";#N/A,#N/A,FALSE,"Recvbls-Ageing";#N/A,#N/A,FALSE,"Pending . Conn"}</definedName>
    <definedName name="AEGCL" localSheetId="1" hidden="1">{#N/A,#N/A,FALSE,"Form 1.1";#N/A,#N/A,FALSE,"Sch-VI";#N/A,#N/A,FALSE,"Form 1.1a";#N/A,#N/A,FALSE,"1.1b";#N/A,#N/A,FALSE,"1.1 c";#N/A,#N/A,FALSE,"1.1d";#N/A,#N/A,FALSE,"1.1e";#N/A,#N/A,FALSE,"1.1f";#N/A,#N/A,FALSE,"Capitalisation";#N/A,#N/A,FALSE,"Invt.Plan";#N/A,#N/A,FALSE,"1.1g";#N/A,#N/A,FALSE,"Other Lease";#N/A,#N/A,FALSE,"1.1h";#N/A,#N/A,FALSE,"1.1i";#N/A,#N/A,FALSE,"1.2";#N/A,#N/A,FALSE,"1.3";#N/A,#N/A,FALSE,"1.3b";#N/A,#N/A,FALSE,"1.3c";#N/A,#N/A,FALSE,"1.3d";#N/A,#N/A,FALSE,"1.3e";#N/A,#N/A,FALSE,"1.4";#N/A,#N/A,FALSE,"1.5";#N/A,#N/A,FALSE,"1.6";#N/A,#N/A,FALSE,"2.1 (transco)";#N/A,#N/A,FALSE,"2.1(Discoms)";#N/A,#N/A,FALSE,"4.1 (Transco)";#N/A,#N/A,FALSE,"4.1 (Discoms)";#N/A,#N/A,FALSE,"4.2 (Transco)";#N/A,#N/A,FALSE,"4.2 (Discoms)";#N/A,#N/A,FALSE,"Load Shedding";#N/A,#N/A,FALSE,"Overloading";#N/A,#N/A,FALSE,"Recvbls-Ageing";#N/A,#N/A,FALSE,"Pending . Conn"}</definedName>
    <definedName name="AEGCL" hidden="1">{#N/A,#N/A,FALSE,"Form 1.1";#N/A,#N/A,FALSE,"Sch-VI";#N/A,#N/A,FALSE,"Form 1.1a";#N/A,#N/A,FALSE,"1.1b";#N/A,#N/A,FALSE,"1.1 c";#N/A,#N/A,FALSE,"1.1d";#N/A,#N/A,FALSE,"1.1e";#N/A,#N/A,FALSE,"1.1f";#N/A,#N/A,FALSE,"Capitalisation";#N/A,#N/A,FALSE,"Invt.Plan";#N/A,#N/A,FALSE,"1.1g";#N/A,#N/A,FALSE,"Other Lease";#N/A,#N/A,FALSE,"1.1h";#N/A,#N/A,FALSE,"1.1i";#N/A,#N/A,FALSE,"1.2";#N/A,#N/A,FALSE,"1.3";#N/A,#N/A,FALSE,"1.3b";#N/A,#N/A,FALSE,"1.3c";#N/A,#N/A,FALSE,"1.3d";#N/A,#N/A,FALSE,"1.3e";#N/A,#N/A,FALSE,"1.4";#N/A,#N/A,FALSE,"1.5";#N/A,#N/A,FALSE,"1.6";#N/A,#N/A,FALSE,"2.1 (transco)";#N/A,#N/A,FALSE,"2.1(Discoms)";#N/A,#N/A,FALSE,"4.1 (Transco)";#N/A,#N/A,FALSE,"4.1 (Discoms)";#N/A,#N/A,FALSE,"4.2 (Transco)";#N/A,#N/A,FALSE,"4.2 (Discoms)";#N/A,#N/A,FALSE,"Load Shedding";#N/A,#N/A,FALSE,"Overloading";#N/A,#N/A,FALSE,"Recvbls-Ageing";#N/A,#N/A,FALSE,"Pending . Conn"}</definedName>
    <definedName name="afaer">[18]BEST_17112006!$A$541</definedName>
    <definedName name="afasfasf" localSheetId="51">#REF!</definedName>
    <definedName name="afasfasf">#REF!</definedName>
    <definedName name="afava">[18]BEST_17112006!$A$493</definedName>
    <definedName name="afshgafh">'[18]B_S Group'!$H$120</definedName>
    <definedName name="agdump" localSheetId="52">#REF!</definedName>
    <definedName name="agdump" localSheetId="51">#REF!</definedName>
    <definedName name="agdump" localSheetId="1">#REF!</definedName>
    <definedName name="agdump">#REF!</definedName>
    <definedName name="agedump" localSheetId="51">#REF!</definedName>
    <definedName name="agedump">#REF!</definedName>
    <definedName name="agencydump" localSheetId="51">#REF!</definedName>
    <definedName name="agencydump">#REF!</definedName>
    <definedName name="AGENCYLY" localSheetId="51">#REF!</definedName>
    <definedName name="AGENCYLY">#REF!</definedName>
    <definedName name="AGENCYPLAN" localSheetId="51">#REF!</definedName>
    <definedName name="AGENCYPLAN">#REF!</definedName>
    <definedName name="agri">#REF!</definedName>
    <definedName name="AgrilSupplyBorderArea3Ph">[48]PsDataEntry!$B$164</definedName>
    <definedName name="AgrilSupplyBorderArea3Ph_H0010">[48]Data!$H$456</definedName>
    <definedName name="AgrilSupplyDayGrp3Ph">[48]PsDataEntry!$B$163</definedName>
    <definedName name="AgrilSupplyDayGrp3Ph_H0010">[48]Data!$H$455</definedName>
    <definedName name="AgrilSupplyNightGrp3Ph">[48]PsDataEntry!$B$162</definedName>
    <definedName name="AgrilSupplyNightGrp3Ph_H0010">[48]Data!$H$454</definedName>
    <definedName name="ahefh" localSheetId="51">[18]BEST_17112006!#REF!</definedName>
    <definedName name="ahefh">[18]BEST_17112006!#REF!</definedName>
    <definedName name="ahjsdhjkdh" localSheetId="51">#REF!</definedName>
    <definedName name="ahjsdhjkdh">#REF!</definedName>
    <definedName name="AIR">'[19]#REF'!$E$27</definedName>
    <definedName name="air_trap" localSheetId="51">#REF!</definedName>
    <definedName name="air_trap">#REF!</definedName>
    <definedName name="All_Item" localSheetId="51">#REF!</definedName>
    <definedName name="All_Item">#REF!</definedName>
    <definedName name="ALLOCATION" localSheetId="51">#REF!</definedName>
    <definedName name="ALLOCATION">#REF!</definedName>
    <definedName name="ALLOWANCE">#N/A</definedName>
    <definedName name="ALLTO" localSheetId="51">'[19]해외 연수비용 계산-삭제'!#REF!</definedName>
    <definedName name="ALLTO">'[19]해외 연수비용 계산-삭제'!#REF!</definedName>
    <definedName name="ALOCHDG" localSheetId="52">#REF!</definedName>
    <definedName name="ALOCHDG" localSheetId="51">#REF!</definedName>
    <definedName name="ALOCHDG" localSheetId="1">#REF!</definedName>
    <definedName name="ALOCHDG">#REF!</definedName>
    <definedName name="AMAKEQTY">#N/A</definedName>
    <definedName name="AMAKEQTYNU">#N/A</definedName>
    <definedName name="AMAKETWT">#N/A</definedName>
    <definedName name="AMAKETWTNU">#N/A</definedName>
    <definedName name="angle" localSheetId="51">#REF!</definedName>
    <definedName name="angle">#REF!</definedName>
    <definedName name="ANNEXURE__A" localSheetId="51">#REF!</definedName>
    <definedName name="ANNEXURE__A">#REF!</definedName>
    <definedName name="ANNEXURE__B.Sch" localSheetId="51">#REF!</definedName>
    <definedName name="ANNEXURE__B.Sch">#REF!</definedName>
    <definedName name="ANNEXURE_A." localSheetId="51">#REF!</definedName>
    <definedName name="ANNEXURE_A.">#REF!</definedName>
    <definedName name="anti" localSheetId="52" hidden="1">{#N/A,#N/A,FALSE,"Form 1.1";#N/A,#N/A,FALSE,"Sch-VI";#N/A,#N/A,FALSE,"Form 1.1a";#N/A,#N/A,FALSE,"1.1b";#N/A,#N/A,FALSE,"1.1 c";#N/A,#N/A,FALSE,"1.1d";#N/A,#N/A,FALSE,"1.1e";#N/A,#N/A,FALSE,"1.1f";#N/A,#N/A,FALSE,"Capitalisation";#N/A,#N/A,FALSE,"Invt.Plan";#N/A,#N/A,FALSE,"1.1g";#N/A,#N/A,FALSE,"Other Lease";#N/A,#N/A,FALSE,"1.1h";#N/A,#N/A,FALSE,"1.1i";#N/A,#N/A,FALSE,"1.2";#N/A,#N/A,FALSE,"1.3";#N/A,#N/A,FALSE,"1.3b";#N/A,#N/A,FALSE,"1.3c";#N/A,#N/A,FALSE,"1.3d";#N/A,#N/A,FALSE,"1.3e";#N/A,#N/A,FALSE,"1.4";#N/A,#N/A,FALSE,"1.5";#N/A,#N/A,FALSE,"1.6";#N/A,#N/A,FALSE,"2.1 (transco)";#N/A,#N/A,FALSE,"2.1(Discoms)";#N/A,#N/A,FALSE,"4.1 (Transco)";#N/A,#N/A,FALSE,"4.1 (Discoms)";#N/A,#N/A,FALSE,"4.2 (Transco)";#N/A,#N/A,FALSE,"4.2 (Discoms)";#N/A,#N/A,FALSE,"Load Shedding";#N/A,#N/A,FALSE,"Overloading";#N/A,#N/A,FALSE,"Recvbls-Ageing";#N/A,#N/A,FALSE,"Pending . Conn"}</definedName>
    <definedName name="anti" localSheetId="1" hidden="1">{#N/A,#N/A,FALSE,"Form 1.1";#N/A,#N/A,FALSE,"Sch-VI";#N/A,#N/A,FALSE,"Form 1.1a";#N/A,#N/A,FALSE,"1.1b";#N/A,#N/A,FALSE,"1.1 c";#N/A,#N/A,FALSE,"1.1d";#N/A,#N/A,FALSE,"1.1e";#N/A,#N/A,FALSE,"1.1f";#N/A,#N/A,FALSE,"Capitalisation";#N/A,#N/A,FALSE,"Invt.Plan";#N/A,#N/A,FALSE,"1.1g";#N/A,#N/A,FALSE,"Other Lease";#N/A,#N/A,FALSE,"1.1h";#N/A,#N/A,FALSE,"1.1i";#N/A,#N/A,FALSE,"1.2";#N/A,#N/A,FALSE,"1.3";#N/A,#N/A,FALSE,"1.3b";#N/A,#N/A,FALSE,"1.3c";#N/A,#N/A,FALSE,"1.3d";#N/A,#N/A,FALSE,"1.3e";#N/A,#N/A,FALSE,"1.4";#N/A,#N/A,FALSE,"1.5";#N/A,#N/A,FALSE,"1.6";#N/A,#N/A,FALSE,"2.1 (transco)";#N/A,#N/A,FALSE,"2.1(Discoms)";#N/A,#N/A,FALSE,"4.1 (Transco)";#N/A,#N/A,FALSE,"4.1 (Discoms)";#N/A,#N/A,FALSE,"4.2 (Transco)";#N/A,#N/A,FALSE,"4.2 (Discoms)";#N/A,#N/A,FALSE,"Load Shedding";#N/A,#N/A,FALSE,"Overloading";#N/A,#N/A,FALSE,"Recvbls-Ageing";#N/A,#N/A,FALSE,"Pending . Conn"}</definedName>
    <definedName name="anti" hidden="1">{#N/A,#N/A,FALSE,"Form 1.1";#N/A,#N/A,FALSE,"Sch-VI";#N/A,#N/A,FALSE,"Form 1.1a";#N/A,#N/A,FALSE,"1.1b";#N/A,#N/A,FALSE,"1.1 c";#N/A,#N/A,FALSE,"1.1d";#N/A,#N/A,FALSE,"1.1e";#N/A,#N/A,FALSE,"1.1f";#N/A,#N/A,FALSE,"Capitalisation";#N/A,#N/A,FALSE,"Invt.Plan";#N/A,#N/A,FALSE,"1.1g";#N/A,#N/A,FALSE,"Other Lease";#N/A,#N/A,FALSE,"1.1h";#N/A,#N/A,FALSE,"1.1i";#N/A,#N/A,FALSE,"1.2";#N/A,#N/A,FALSE,"1.3";#N/A,#N/A,FALSE,"1.3b";#N/A,#N/A,FALSE,"1.3c";#N/A,#N/A,FALSE,"1.3d";#N/A,#N/A,FALSE,"1.3e";#N/A,#N/A,FALSE,"1.4";#N/A,#N/A,FALSE,"1.5";#N/A,#N/A,FALSE,"1.6";#N/A,#N/A,FALSE,"2.1 (transco)";#N/A,#N/A,FALSE,"2.1(Discoms)";#N/A,#N/A,FALSE,"4.1 (Transco)";#N/A,#N/A,FALSE,"4.1 (Discoms)";#N/A,#N/A,FALSE,"4.2 (Transco)";#N/A,#N/A,FALSE,"4.2 (Discoms)";#N/A,#N/A,FALSE,"Load Shedding";#N/A,#N/A,FALSE,"Overloading";#N/A,#N/A,FALSE,"Recvbls-Ageing";#N/A,#N/A,FALSE,"Pending . Conn"}</definedName>
    <definedName name="aq">[18]Notes!$A$43</definedName>
    <definedName name="area">[49]MixBed!#REF!</definedName>
    <definedName name="area1">[49]MixBed!#REF!</definedName>
    <definedName name="as" localSheetId="52">#REF!</definedName>
    <definedName name="as" localSheetId="1">#REF!</definedName>
    <definedName name="as">#REF!</definedName>
    <definedName name="AS2DocOpenMode" hidden="1">"AS2DocumentEdit"</definedName>
    <definedName name="asaaa" localSheetId="51">#REF!</definedName>
    <definedName name="asaaa">#REF!</definedName>
    <definedName name="asasasasasaaaaaaaa">[18]Notes!$A$21</definedName>
    <definedName name="asd" localSheetId="52">#REF!</definedName>
    <definedName name="asd" localSheetId="51">#REF!</definedName>
    <definedName name="asd" localSheetId="1">#REF!</definedName>
    <definedName name="asd">#REF!</definedName>
    <definedName name="asdASDSA" localSheetId="52">#REF!</definedName>
    <definedName name="asdASDSA" localSheetId="1">#REF!</definedName>
    <definedName name="asdASDSA">#REF!</definedName>
    <definedName name="asdyrgy">'[18]B_S Group'!$H$434</definedName>
    <definedName name="ASO_CODE" localSheetId="51">'[50]ITEM-LIST'!#REF!</definedName>
    <definedName name="ASO_CODE">'[50]ITEM-LIST'!#REF!</definedName>
    <definedName name="ass">[18]Notes!$A$17</definedName>
    <definedName name="asss" localSheetId="52">#REF!</definedName>
    <definedName name="asss" localSheetId="1">#REF!</definedName>
    <definedName name="asss">#REF!</definedName>
    <definedName name="asst_cost" localSheetId="52">#REF!</definedName>
    <definedName name="asst_cost" localSheetId="1">#REF!</definedName>
    <definedName name="asst_cost">#REF!</definedName>
    <definedName name="asstwice">[18]Notes!$A$19</definedName>
    <definedName name="ASSUMPTIONS" localSheetId="51">'[5]Financial Estimates'!$A$271:$D$342</definedName>
    <definedName name="ASSUMPTIONS">'[5]Financial Estimates'!$A$271:$D$342</definedName>
    <definedName name="at">[46]PSP1!$C$59</definedName>
    <definedName name="atyfafa" localSheetId="52">#REF!</definedName>
    <definedName name="atyfafa" localSheetId="51">#REF!</definedName>
    <definedName name="atyfafa" localSheetId="1">#REF!</definedName>
    <definedName name="atyfafa">#REF!</definedName>
    <definedName name="AuBhu0910" localSheetId="51">[51]Assumption_PwC!$D$7</definedName>
    <definedName name="AuBhu0910">[51]Assumption_PwC!$D$7</definedName>
    <definedName name="AuBhu1011" localSheetId="51">[51]Assumption_PwC!$E$7</definedName>
    <definedName name="AuBhu1011">[51]Assumption_PwC!$E$7</definedName>
    <definedName name="AuCha0910" localSheetId="51">[51]Assumption_PwC!$D$8</definedName>
    <definedName name="AuCha0910">[51]Assumption_PwC!$D$8</definedName>
    <definedName name="aueri3hjf">'[18]B_S Group'!$H$31</definedName>
    <definedName name="Aug" localSheetId="52" hidden="1">{#N/A,#N/A,FALSE,"Form 1.1";#N/A,#N/A,FALSE,"Sch-VI";#N/A,#N/A,FALSE,"Form 1.1a";#N/A,#N/A,FALSE,"1.1b";#N/A,#N/A,FALSE,"1.1 c";#N/A,#N/A,FALSE,"1.1d";#N/A,#N/A,FALSE,"1.1e";#N/A,#N/A,FALSE,"1.1f";#N/A,#N/A,FALSE,"Capitalisation";#N/A,#N/A,FALSE,"Invt.Plan";#N/A,#N/A,FALSE,"1.1g";#N/A,#N/A,FALSE,"Other Lease";#N/A,#N/A,FALSE,"1.1h";#N/A,#N/A,FALSE,"1.1i";#N/A,#N/A,FALSE,"1.2";#N/A,#N/A,FALSE,"1.3";#N/A,#N/A,FALSE,"1.3b";#N/A,#N/A,FALSE,"1.3c";#N/A,#N/A,FALSE,"1.3d";#N/A,#N/A,FALSE,"1.3e";#N/A,#N/A,FALSE,"1.4";#N/A,#N/A,FALSE,"1.5";#N/A,#N/A,FALSE,"1.6";#N/A,#N/A,FALSE,"2.1 (transco)";#N/A,#N/A,FALSE,"2.1(Discoms)";#N/A,#N/A,FALSE,"4.1 (Transco)";#N/A,#N/A,FALSE,"4.1 (Discoms)";#N/A,#N/A,FALSE,"4.2 (Transco)";#N/A,#N/A,FALSE,"4.2 (Discoms)";#N/A,#N/A,FALSE,"Load Shedding";#N/A,#N/A,FALSE,"Overloading";#N/A,#N/A,FALSE,"Recvbls-Ageing";#N/A,#N/A,FALSE,"Pending . Conn"}</definedName>
    <definedName name="Aug" localSheetId="1" hidden="1">{#N/A,#N/A,FALSE,"Form 1.1";#N/A,#N/A,FALSE,"Sch-VI";#N/A,#N/A,FALSE,"Form 1.1a";#N/A,#N/A,FALSE,"1.1b";#N/A,#N/A,FALSE,"1.1 c";#N/A,#N/A,FALSE,"1.1d";#N/A,#N/A,FALSE,"1.1e";#N/A,#N/A,FALSE,"1.1f";#N/A,#N/A,FALSE,"Capitalisation";#N/A,#N/A,FALSE,"Invt.Plan";#N/A,#N/A,FALSE,"1.1g";#N/A,#N/A,FALSE,"Other Lease";#N/A,#N/A,FALSE,"1.1h";#N/A,#N/A,FALSE,"1.1i";#N/A,#N/A,FALSE,"1.2";#N/A,#N/A,FALSE,"1.3";#N/A,#N/A,FALSE,"1.3b";#N/A,#N/A,FALSE,"1.3c";#N/A,#N/A,FALSE,"1.3d";#N/A,#N/A,FALSE,"1.3e";#N/A,#N/A,FALSE,"1.4";#N/A,#N/A,FALSE,"1.5";#N/A,#N/A,FALSE,"1.6";#N/A,#N/A,FALSE,"2.1 (transco)";#N/A,#N/A,FALSE,"2.1(Discoms)";#N/A,#N/A,FALSE,"4.1 (Transco)";#N/A,#N/A,FALSE,"4.1 (Discoms)";#N/A,#N/A,FALSE,"4.2 (Transco)";#N/A,#N/A,FALSE,"4.2 (Discoms)";#N/A,#N/A,FALSE,"Load Shedding";#N/A,#N/A,FALSE,"Overloading";#N/A,#N/A,FALSE,"Recvbls-Ageing";#N/A,#N/A,FALSE,"Pending . Conn"}</definedName>
    <definedName name="Aug" hidden="1">{#N/A,#N/A,FALSE,"Form 1.1";#N/A,#N/A,FALSE,"Sch-VI";#N/A,#N/A,FALSE,"Form 1.1a";#N/A,#N/A,FALSE,"1.1b";#N/A,#N/A,FALSE,"1.1 c";#N/A,#N/A,FALSE,"1.1d";#N/A,#N/A,FALSE,"1.1e";#N/A,#N/A,FALSE,"1.1f";#N/A,#N/A,FALSE,"Capitalisation";#N/A,#N/A,FALSE,"Invt.Plan";#N/A,#N/A,FALSE,"1.1g";#N/A,#N/A,FALSE,"Other Lease";#N/A,#N/A,FALSE,"1.1h";#N/A,#N/A,FALSE,"1.1i";#N/A,#N/A,FALSE,"1.2";#N/A,#N/A,FALSE,"1.3";#N/A,#N/A,FALSE,"1.3b";#N/A,#N/A,FALSE,"1.3c";#N/A,#N/A,FALSE,"1.3d";#N/A,#N/A,FALSE,"1.3e";#N/A,#N/A,FALSE,"1.4";#N/A,#N/A,FALSE,"1.5";#N/A,#N/A,FALSE,"1.6";#N/A,#N/A,FALSE,"2.1 (transco)";#N/A,#N/A,FALSE,"2.1(Discoms)";#N/A,#N/A,FALSE,"4.1 (Transco)";#N/A,#N/A,FALSE,"4.1 (Discoms)";#N/A,#N/A,FALSE,"4.2 (Transco)";#N/A,#N/A,FALSE,"4.2 (Discoms)";#N/A,#N/A,FALSE,"Load Shedding";#N/A,#N/A,FALSE,"Overloading";#N/A,#N/A,FALSE,"Recvbls-Ageing";#N/A,#N/A,FALSE,"Pending . Conn"}</definedName>
    <definedName name="AV" localSheetId="51">#REF!</definedName>
    <definedName name="AV">#REF!</definedName>
    <definedName name="avsrs">'[18]P&amp;L Group'!$A$90</definedName>
    <definedName name="b">[18]Notes!$A$27</definedName>
    <definedName name="B_1">#N/A</definedName>
    <definedName name="B_FLG" localSheetId="51">#REF!</definedName>
    <definedName name="B_FLG">#REF!</definedName>
    <definedName name="back_pressure" localSheetId="51">#REF!</definedName>
    <definedName name="back_pressure">#REF!</definedName>
    <definedName name="ball" localSheetId="51">#REF!</definedName>
    <definedName name="ball">#REF!</definedName>
    <definedName name="BAS_FCOST_BEF" localSheetId="51">#REF!</definedName>
    <definedName name="BAS_FCOST_BEF">#REF!</definedName>
    <definedName name="BATTERIES_ES_TA" localSheetId="51">#REF!</definedName>
    <definedName name="BATTERIES_ES_TA">#REF!</definedName>
    <definedName name="BATTERIES_ES_TD" localSheetId="51">#REF!</definedName>
    <definedName name="BATTERIES_ES_TD">#REF!</definedName>
    <definedName name="bays">[52]Assumptions!#REF!</definedName>
    <definedName name="BB">#N/A</definedName>
    <definedName name="bbb" localSheetId="51">#REF!</definedName>
    <definedName name="bbb">#REF!</definedName>
    <definedName name="bd" localSheetId="51">'[53]License Area'!#REF!</definedName>
    <definedName name="bd">'[53]License Area'!#REF!</definedName>
    <definedName name="bdshfkdf">'[18]B_S Group'!$H$269</definedName>
    <definedName name="bgbgb" localSheetId="52">#REF!,#REF!</definedName>
    <definedName name="bgbgb" localSheetId="51">#REF!,#REF!</definedName>
    <definedName name="bgbgb" localSheetId="1">#REF!,#REF!</definedName>
    <definedName name="bgbgb">#REF!,#REF!</definedName>
    <definedName name="bhefgl">'[18]Schedule 1'!$B$2</definedName>
    <definedName name="BILDQTY">#N/A</definedName>
    <definedName name="BILDQTYNU">#N/A</definedName>
    <definedName name="BILDTWT">#N/A</definedName>
    <definedName name="BILDTWTNU">#N/A</definedName>
    <definedName name="bkd" localSheetId="52" hidden="1">{"'Sheet1'!$L$16"}</definedName>
    <definedName name="bkd" localSheetId="51" hidden="1">{"'Sheet1'!$L$16"}</definedName>
    <definedName name="bkd" localSheetId="1" hidden="1">{"'Sheet1'!$L$16"}</definedName>
    <definedName name="bkd" hidden="1">{"'Sheet1'!$L$16"}</definedName>
    <definedName name="BLOCK02" localSheetId="51">#REF!</definedName>
    <definedName name="BLOCK02">#REF!</definedName>
    <definedName name="BLOCK03" localSheetId="51">#REF!</definedName>
    <definedName name="BLOCK03">#REF!</definedName>
    <definedName name="BLR_COMP" localSheetId="51">#REF!</definedName>
    <definedName name="BLR_COMP">#REF!</definedName>
    <definedName name="BLR_COMP1" localSheetId="51">#REF!</definedName>
    <definedName name="BLR_COMP1">#REF!</definedName>
    <definedName name="BLR_TYPE" localSheetId="51">#REF!</definedName>
    <definedName name="BLR_TYPE">#REF!</definedName>
    <definedName name="bm" localSheetId="52" hidden="1">{"'Sheet1'!$L$16"}</definedName>
    <definedName name="bm" localSheetId="51" hidden="1">{"'Sheet1'!$L$16"}</definedName>
    <definedName name="bm" localSheetId="1" hidden="1">{"'Sheet1'!$L$16"}</definedName>
    <definedName name="bm" hidden="1">{"'Sheet1'!$L$16"}</definedName>
    <definedName name="bn" localSheetId="52" hidden="1">{"'Sheet1'!$L$16"}</definedName>
    <definedName name="bn" localSheetId="51" hidden="1">{"'Sheet1'!$L$16"}</definedName>
    <definedName name="bn" localSheetId="1" hidden="1">{"'Sheet1'!$L$16"}</definedName>
    <definedName name="bn" hidden="1">{"'Sheet1'!$L$16"}</definedName>
    <definedName name="BOLT" localSheetId="51">#REF!</definedName>
    <definedName name="BOLT">#REF!</definedName>
    <definedName name="BOSS" localSheetId="51">#REF!</definedName>
    <definedName name="BOSS">#REF!</definedName>
    <definedName name="bsdfhkd">'[18]B_S Group'!$H$277</definedName>
    <definedName name="bshfdgdf">'[18]B_S Group'!$H$129</definedName>
    <definedName name="BSO_CODE" localSheetId="51">'[50]ITEM-LIST'!#REF!</definedName>
    <definedName name="BSO_CODE">'[50]ITEM-LIST'!#REF!</definedName>
    <definedName name="BT">'[54]해외 연수비용 계산-삭제'!#REF!</definedName>
    <definedName name="BUILD_ES_TA" localSheetId="52">#REF!</definedName>
    <definedName name="BUILD_ES_TA" localSheetId="51">#REF!</definedName>
    <definedName name="BUILD_ES_TA" localSheetId="1">#REF!</definedName>
    <definedName name="BUILD_ES_TA">#REF!</definedName>
    <definedName name="BUILD_ES_TD" localSheetId="51">#REF!</definedName>
    <definedName name="BUILD_ES_TD">#REF!</definedName>
    <definedName name="BUILD_GEN_TA" localSheetId="51">#REF!</definedName>
    <definedName name="BUILD_GEN_TA">#REF!</definedName>
    <definedName name="BUILD_GEN_TD" localSheetId="51">#REF!</definedName>
    <definedName name="BUILD_GEN_TD">#REF!</definedName>
    <definedName name="BULYANGPNT" localSheetId="58">[19]!BULYANGPNT</definedName>
    <definedName name="BULYANGPNT" localSheetId="59">[19]!BULYANGPNT</definedName>
    <definedName name="BULYANGPNT">[19]!BULYANGPNT</definedName>
    <definedName name="BUS" localSheetId="52">#REF!</definedName>
    <definedName name="BUS" localSheetId="1">#REF!</definedName>
    <definedName name="BUS">#REF!</definedName>
    <definedName name="butterfly" localSheetId="52">#REF!</definedName>
    <definedName name="butterfly" localSheetId="51">#REF!</definedName>
    <definedName name="butterfly" localSheetId="1">#REF!</definedName>
    <definedName name="butterfly">#REF!</definedName>
    <definedName name="C_" localSheetId="51">#REF!</definedName>
    <definedName name="C_">#REF!</definedName>
    <definedName name="C_Data_1" localSheetId="51">'[55]2000-01'!#REF!</definedName>
    <definedName name="C_Data_1">'[55]2000-01'!#REF!</definedName>
    <definedName name="C_Data_2">'[55]2000-01'!#REF!</definedName>
    <definedName name="ca" localSheetId="52">#REF!</definedName>
    <definedName name="ca" localSheetId="51">#REF!</definedName>
    <definedName name="ca" localSheetId="1">#REF!</definedName>
    <definedName name="ca">#REF!</definedName>
    <definedName name="CABLESMAIN_ES_TA" localSheetId="51">#REF!</definedName>
    <definedName name="CABLESMAIN_ES_TA">#REF!</definedName>
    <definedName name="CABLESMAIN_ES_TD" localSheetId="51">#REF!</definedName>
    <definedName name="CABLESMAIN_ES_TD">#REF!</definedName>
    <definedName name="Cal" localSheetId="51">#REF!</definedName>
    <definedName name="Cal">#REF!</definedName>
    <definedName name="CalcAgencyPrice" localSheetId="51">#REF!</definedName>
    <definedName name="CalcAgencyPrice">#REF!</definedName>
    <definedName name="CAP" localSheetId="51">#REF!</definedName>
    <definedName name="CAP">#REF!</definedName>
    <definedName name="CAPACITOR_ES_TA" localSheetId="51">#REF!</definedName>
    <definedName name="CAPACITOR_ES_TA">#REF!</definedName>
    <definedName name="CAPACITOR_ES_TD" localSheetId="51">#REF!</definedName>
    <definedName name="CAPACITOR_ES_TD">#REF!</definedName>
    <definedName name="Capex">#REF!</definedName>
    <definedName name="Capitalisation">#REF!</definedName>
    <definedName name="CAPRATE" localSheetId="51">'[19]해외 연수비용 계산-삭제'!#REF!</definedName>
    <definedName name="CAPRATE">'[19]해외 연수비용 계산-삭제'!#REF!</definedName>
    <definedName name="CAPTO">'[19]해외 연수비용 계산-삭제'!#REF!</definedName>
    <definedName name="cas" localSheetId="52">#REF!</definedName>
    <definedName name="cas" localSheetId="51">#REF!</definedName>
    <definedName name="cas" localSheetId="1">#REF!</definedName>
    <definedName name="cas">#REF!</definedName>
    <definedName name="Category_All" localSheetId="51">#REF!</definedName>
    <definedName name="Category_All">#REF!</definedName>
    <definedName name="CC">#N/A</definedName>
    <definedName name="ccc">#N/A</definedName>
    <definedName name="CDGD">'[56]C.S.GENERATION'!#REF!</definedName>
    <definedName name="cefcvwds">[18]BEST_17112006!$A$504:$M$519</definedName>
    <definedName name="cefeedf" localSheetId="51">[18]BEST_17112006!#REF!</definedName>
    <definedName name="cefeedf">[18]BEST_17112006!#REF!</definedName>
    <definedName name="cefgve">[18]BEST_17112006!$A$111</definedName>
    <definedName name="cefvdwg">[18]BEST_17112006!#REF!</definedName>
    <definedName name="cers" localSheetId="51">'[57]License Area'!#REF!</definedName>
    <definedName name="cers">'[57]License Area'!#REF!</definedName>
    <definedName name="cfwefcd">[18]BEST_17112006!$A$493:$M$499</definedName>
    <definedName name="CH" localSheetId="51">#REF!</definedName>
    <definedName name="CH">#REF!</definedName>
    <definedName name="check" localSheetId="51">#REF!</definedName>
    <definedName name="check">#REF!</definedName>
    <definedName name="CHOWKIES_ES_TA" localSheetId="51">#REF!</definedName>
    <definedName name="CHOWKIES_ES_TA">#REF!</definedName>
    <definedName name="CHOWKIES_ES_TD" localSheetId="51">#REF!</definedName>
    <definedName name="CHOWKIES_ES_TD">#REF!</definedName>
    <definedName name="Circularity_Flag">[58]Assumptions!$C$3</definedName>
    <definedName name="CLASS">#N/A</definedName>
    <definedName name="clear" localSheetId="51">[59]집계표!$D$9:$J$13,[59]집계표!$L$9:$O$13,[59]집계표!$D$15:$J$24,[59]집계표!$L$15:$O$24,[59]집계표!$D$26:$J$26,[59]집계표!$L$26:$O$26,[59]집계표!$D$46:$J$50,[59]집계표!$L$46:$O$50,[59]집계표!$L$52:$O$61,[59]집계표!$L$63:$O$63,[59]집계표!$D$63:$J$63,[59]집계표!$D$52:$J$61,[59]집계표!$D$83:$J$87,[59]집계표!$L$83:$O$87,[59]집계표!$L$89:$O$98,[59]집계표!$L$100:$O$100,[59]집계표!$D$100:$J$100,[59]집계표!$D$89:$J$98</definedName>
    <definedName name="clear">[59]집계표!$D$9:$J$13,[59]집계표!$L$9:$O$13,[59]집계표!$D$15:$J$24,[59]집계표!$L$15:$O$24,[59]집계표!$D$26:$J$26,[59]집계표!$L$26:$O$26,[59]집계표!$D$46:$J$50,[59]집계표!$L$46:$O$50,[59]집계표!$L$52:$O$61,[59]집계표!$L$63:$O$63,[59]집계표!$D$63:$J$63,[59]집계표!$D$52:$J$61,[59]집계표!$D$83:$J$87,[59]집계표!$L$83:$O$87,[59]집계표!$L$89:$O$98,[59]집계표!$L$100:$O$100,[59]집계표!$D$100:$J$100,[59]집계표!$D$89:$J$98</definedName>
    <definedName name="CM10_C_RIGHT___" localSheetId="52">#REF!</definedName>
    <definedName name="CM10_C_RIGHT___" localSheetId="51">#REF!</definedName>
    <definedName name="CM10_C_RIGHT___" localSheetId="1">#REF!</definedName>
    <definedName name="CM10_C_RIGHT___">#REF!</definedName>
    <definedName name="cn" localSheetId="52" hidden="1">{"'Sheet1'!$L$16"}</definedName>
    <definedName name="cn" localSheetId="51" hidden="1">{"'Sheet1'!$L$16"}</definedName>
    <definedName name="cn" localSheetId="1" hidden="1">{"'Sheet1'!$L$16"}</definedName>
    <definedName name="cn" hidden="1">{"'Sheet1'!$L$16"}</definedName>
    <definedName name="CNO">'[19]해외 기술훈련비 (합계)'!#REF!</definedName>
    <definedName name="co" localSheetId="52">#REF!</definedName>
    <definedName name="co" localSheetId="51">#REF!</definedName>
    <definedName name="co" localSheetId="1">#REF!</definedName>
    <definedName name="co">#REF!</definedName>
    <definedName name="COA_11" localSheetId="52">'[60]COA-17'!#REF!</definedName>
    <definedName name="COA_11" localSheetId="51">'[60]COA-17'!#REF!</definedName>
    <definedName name="COA_11" localSheetId="1">'[60]COA-17'!#REF!</definedName>
    <definedName name="COA_11">'[60]COA-17'!#REF!</definedName>
    <definedName name="COA_12" localSheetId="1">'[60]COA-17'!#REF!</definedName>
    <definedName name="COA_12">'[60]COA-17'!#REF!</definedName>
    <definedName name="COA_13">'[60]COA-17'!#REF!</definedName>
    <definedName name="COA_14">'[60]COA-17'!#REF!</definedName>
    <definedName name="COA_15">'[60]COA-17'!#REF!</definedName>
    <definedName name="COA_16">'[60]COA-17'!#REF!</definedName>
    <definedName name="COA_17">'[60]COA-17'!#REF!</definedName>
    <definedName name="COA_18">'[60]COA-17'!#REF!</definedName>
    <definedName name="COA_19">'[60]COA-17'!#REF!</definedName>
    <definedName name="COA_51" localSheetId="52">#REF!</definedName>
    <definedName name="COA_51" localSheetId="51">#REF!</definedName>
    <definedName name="COA_51" localSheetId="1">#REF!</definedName>
    <definedName name="COA_51">#REF!</definedName>
    <definedName name="COA_52" localSheetId="51">#REF!</definedName>
    <definedName name="COA_52">#REF!</definedName>
    <definedName name="COA_53" localSheetId="51">#REF!</definedName>
    <definedName name="COA_53">#REF!</definedName>
    <definedName name="COA_54" localSheetId="51">#REF!</definedName>
    <definedName name="COA_54">#REF!</definedName>
    <definedName name="COA_55" localSheetId="51">#REF!</definedName>
    <definedName name="COA_55">#REF!</definedName>
    <definedName name="COA_60" localSheetId="51">#REF!</definedName>
    <definedName name="COA_60">#REF!</definedName>
    <definedName name="COA_70" localSheetId="51">#REF!</definedName>
    <definedName name="COA_70">#REF!</definedName>
    <definedName name="COA_80" localSheetId="51">#REF!</definedName>
    <definedName name="COA_80">#REF!</definedName>
    <definedName name="COA_90" localSheetId="51">#REF!</definedName>
    <definedName name="COA_90">#REF!</definedName>
    <definedName name="COA50A" localSheetId="51">#REF!</definedName>
    <definedName name="COA50A">#REF!</definedName>
    <definedName name="COA50B" localSheetId="51">#REF!</definedName>
    <definedName name="COA50B">#REF!</definedName>
    <definedName name="CODE_TYPE" localSheetId="51">#REF!</definedName>
    <definedName name="CODE_TYPE">#REF!</definedName>
    <definedName name="Com" localSheetId="51" hidden="1">[28]CE!#REF!</definedName>
    <definedName name="Com" hidden="1">[28]CE!#REF!</definedName>
    <definedName name="Commission" localSheetId="51">#REF!</definedName>
    <definedName name="Commission">#REF!</definedName>
    <definedName name="Comp" localSheetId="51" hidden="1">[28]CE!#REF!</definedName>
    <definedName name="Comp" hidden="1">[28]CE!#REF!</definedName>
    <definedName name="COMP_TR" localSheetId="51">#REF!</definedName>
    <definedName name="COMP_TR">#REF!</definedName>
    <definedName name="COMP_선택" localSheetId="51">#REF!</definedName>
    <definedName name="COMP_선택">#REF!</definedName>
    <definedName name="COMP_선택1" localSheetId="51">#REF!</definedName>
    <definedName name="COMP_선택1">#REF!</definedName>
    <definedName name="CON">#N/A</definedName>
    <definedName name="CONCEPT" localSheetId="51">'[19]해외 연수비용 계산-삭제'!#REF!</definedName>
    <definedName name="CONCEPT">'[19]해외 연수비용 계산-삭제'!#REF!</definedName>
    <definedName name="CONSTANTS" localSheetId="51">'[5]Financial Estimates'!$A$271:$D$342</definedName>
    <definedName name="CONSTANTS">'[5]Financial Estimates'!$A$271:$D$342</definedName>
    <definedName name="CONSUM" localSheetId="51">#REF!</definedName>
    <definedName name="CONSUM">#REF!</definedName>
    <definedName name="CONT_NO">#N/A</definedName>
    <definedName name="Contents">#REF!</definedName>
    <definedName name="COVER50" localSheetId="51">[61]CAT_5!#REF!</definedName>
    <definedName name="COVER50">[61]CAT_5!#REF!</definedName>
    <definedName name="CP1_">#N/A</definedName>
    <definedName name="CP2_">#N/A</definedName>
    <definedName name="CP3_">'[19]해외 연수비용 계산-삭제'!#REF!</definedName>
    <definedName name="CPLG" localSheetId="52">#REF!</definedName>
    <definedName name="CPLG" localSheetId="51">#REF!</definedName>
    <definedName name="CPLG" localSheetId="1">#REF!</definedName>
    <definedName name="CPLG">#REF!</definedName>
    <definedName name="cprrr" localSheetId="52">'[57]License Area'!#REF!</definedName>
    <definedName name="cprrr" localSheetId="51">'[57]License Area'!#REF!</definedName>
    <definedName name="cprrr" localSheetId="1">'[57]License Area'!#REF!</definedName>
    <definedName name="cprrr">'[57]License Area'!#REF!</definedName>
    <definedName name="cqwfe" localSheetId="1">[18]BEST_17112006!#REF!</definedName>
    <definedName name="cqwfe">[18]BEST_17112006!#REF!</definedName>
    <definedName name="CR" localSheetId="51">[3]DLC!$GS$40:$HM$87</definedName>
    <definedName name="CR">[41]DLC!$GS$40:$HM$87</definedName>
    <definedName name="CREATOR" localSheetId="52">#REF!</definedName>
    <definedName name="CREATOR" localSheetId="51">#REF!</definedName>
    <definedName name="CREATOR" localSheetId="1">#REF!</definedName>
    <definedName name="CREATOR">#REF!</definedName>
    <definedName name="_xlnm.Criteria" localSheetId="51">#REF!</definedName>
    <definedName name="_xlnm.Criteria">#REF!</definedName>
    <definedName name="Criteria_MI" localSheetId="51">#REF!</definedName>
    <definedName name="Criteria_MI">#REF!</definedName>
    <definedName name="Crores">10000000</definedName>
    <definedName name="CSMPD">'[56]C.S.GENERATION'!#REF!</definedName>
    <definedName name="CT">#N/A</definedName>
    <definedName name="CTTRV">#N/A</definedName>
    <definedName name="CUSTOM">#N/A</definedName>
    <definedName name="CutImportantCities">[48]PsDataEntry!$B$170</definedName>
    <definedName name="CutImportantCities_H0010">[48]Data!$H$462</definedName>
    <definedName name="CUTONHQ">[48]PsDataEntry!$B$172</definedName>
    <definedName name="CUTONHQ_H0010">[48]Data!$H$464</definedName>
    <definedName name="CutUrbanIndustrialArea">[48]PsDataEntry!$B$171</definedName>
    <definedName name="CutUrbanIndustrialArea_H0010">[48]Data!$H$463</definedName>
    <definedName name="CV" localSheetId="52">#REF!</definedName>
    <definedName name="CV" localSheetId="51">#REF!</definedName>
    <definedName name="CV" localSheetId="1">#REF!</definedName>
    <definedName name="CV">#REF!</definedName>
    <definedName name="CV_1" localSheetId="52">'[60]C-18'!#REF!</definedName>
    <definedName name="CV_1" localSheetId="51">'[60]C-18'!#REF!</definedName>
    <definedName name="CV_1" localSheetId="1">'[60]C-18'!#REF!</definedName>
    <definedName name="CV_1">'[60]C-18'!#REF!</definedName>
    <definedName name="CV_11" localSheetId="1">'[60]C-18'!#REF!</definedName>
    <definedName name="CV_11">'[60]C-18'!#REF!</definedName>
    <definedName name="CV_12" localSheetId="1">'[60]C-18'!#REF!</definedName>
    <definedName name="CV_12">'[60]C-18'!#REF!</definedName>
    <definedName name="CV_13" localSheetId="1">'[60]C-18'!#REF!</definedName>
    <definedName name="CV_13">'[60]C-18'!#REF!</definedName>
    <definedName name="CV_14">'[60]C-18'!#REF!</definedName>
    <definedName name="CV_15">'[60]C-18'!#REF!</definedName>
    <definedName name="CV_16">'[60]C-18'!#REF!</definedName>
    <definedName name="CV_17">'[60]C-18'!#REF!</definedName>
    <definedName name="CV_19">'[60]C-18'!#REF!</definedName>
    <definedName name="CV_20">'[60]C-18'!#REF!</definedName>
    <definedName name="CV_30">'[60]C-18'!#REF!</definedName>
    <definedName name="CV_40">'[60]C-18'!#REF!</definedName>
    <definedName name="CV_50">'[60]C-18'!#REF!</definedName>
    <definedName name="CV_60">'[60]C-18'!#REF!</definedName>
    <definedName name="CV_70">'[60]C-18'!#REF!</definedName>
    <definedName name="CV_80">'[60]C-18'!#REF!</definedName>
    <definedName name="cwefcve">[18]BEST_17112006!$A$128</definedName>
    <definedName name="cwfvewrg">[18]BEST_17112006!$A$111</definedName>
    <definedName name="cwfvw">[18]BEST_17112006!$A$165</definedName>
    <definedName name="cwgfweg">'[18]P&amp;L Group'!$F$24</definedName>
    <definedName name="cwip" localSheetId="52">#REF!</definedName>
    <definedName name="cwip" localSheetId="51">#REF!</definedName>
    <definedName name="cwip" localSheetId="1">#REF!</definedName>
    <definedName name="cwip">#REF!</definedName>
    <definedName name="cwwfvw" localSheetId="52">[18]BEST_17112006!#REF!</definedName>
    <definedName name="cwwfvw" localSheetId="51">[18]BEST_17112006!#REF!</definedName>
    <definedName name="cwwfvw" localSheetId="1">[18]BEST_17112006!#REF!</definedName>
    <definedName name="cwwfvw">[18]BEST_17112006!#REF!</definedName>
    <definedName name="cwwr" localSheetId="1">[18]BEST_17112006!#REF!</definedName>
    <definedName name="cwwr">[18]BEST_17112006!#REF!</definedName>
    <definedName name="CYMACHINE_GEN_TA" localSheetId="51">#REF!</definedName>
    <definedName name="CYMACHINE_GEN_TA" localSheetId="1">#REF!</definedName>
    <definedName name="CYMACHINE_GEN_TA">#REF!</definedName>
    <definedName name="CYMACHINE_GEN_TD" localSheetId="51">#REF!</definedName>
    <definedName name="CYMACHINE_GEN_TD">#REF!</definedName>
    <definedName name="D">#N/A</definedName>
    <definedName name="D_T" localSheetId="51">[62]data!$F$721</definedName>
    <definedName name="D_T">[63]data!$F$721</definedName>
    <definedName name="D8j139">'[64]f5_Hedge cost &amp; Rupee loan cnvr'!$D$8</definedName>
    <definedName name="dadfsdf" localSheetId="52">#REF!</definedName>
    <definedName name="dadfsdf" localSheetId="51">#REF!</definedName>
    <definedName name="dadfsdf" localSheetId="1">#REF!</definedName>
    <definedName name="dadfsdf">#REF!</definedName>
    <definedName name="dafsff" localSheetId="51">#REF!</definedName>
    <definedName name="dafsff">#REF!</definedName>
    <definedName name="DAM">#N/A</definedName>
    <definedName name="DAN">#N/A</definedName>
    <definedName name="dargad" localSheetId="51">#REF!,#REF!</definedName>
    <definedName name="dargad">#REF!,#REF!</definedName>
    <definedName name="DaRWk1" localSheetId="51">#REF!</definedName>
    <definedName name="DaRWk1">#REF!</definedName>
    <definedName name="DaRWk10" localSheetId="51">#REF!</definedName>
    <definedName name="DaRWk10">#REF!</definedName>
    <definedName name="DaRWk11" localSheetId="51">#REF!</definedName>
    <definedName name="DaRWk11">#REF!</definedName>
    <definedName name="DaRWk12" localSheetId="51">#REF!</definedName>
    <definedName name="DaRWk12">#REF!</definedName>
    <definedName name="DaRWk2" localSheetId="51">#REF!</definedName>
    <definedName name="DaRWk2">#REF!</definedName>
    <definedName name="DaRWk3" localSheetId="51">#REF!</definedName>
    <definedName name="DaRWk3">#REF!</definedName>
    <definedName name="DaRWk4" localSheetId="51">#REF!</definedName>
    <definedName name="DaRWk4">#REF!</definedName>
    <definedName name="DaRWk5" localSheetId="51">#REF!</definedName>
    <definedName name="DaRWk5">#REF!</definedName>
    <definedName name="DaRWk6" localSheetId="51">#REF!</definedName>
    <definedName name="DaRWk6">#REF!</definedName>
    <definedName name="DaRWk8" localSheetId="51">#REF!</definedName>
    <definedName name="DaRWk8">#REF!</definedName>
    <definedName name="DaRwk9" localSheetId="51">#REF!</definedName>
    <definedName name="DaRwk9">#REF!</definedName>
    <definedName name="data" localSheetId="51">[65]Dailysource!$B$2:$H$169</definedName>
    <definedName name="data">[65]Dailysource!$B$2:$H$169</definedName>
    <definedName name="_xlnm.Database" localSheetId="52">#REF!</definedName>
    <definedName name="_xlnm.Database" localSheetId="51">#REF!</definedName>
    <definedName name="_xlnm.Database" localSheetId="1">#REF!</definedName>
    <definedName name="_xlnm.Database">#REF!</definedName>
    <definedName name="Database_MI" localSheetId="51">#REF!</definedName>
    <definedName name="Database_MI">#REF!</definedName>
    <definedName name="DATABASE_VERSION" localSheetId="51">#REF!</definedName>
    <definedName name="DATABASE_VERSION">#REF!</definedName>
    <definedName name="DataFilter">#N/A</definedName>
    <definedName name="DataSort">#N/A</definedName>
    <definedName name="DATA영역" localSheetId="51">[66]INPUT!$E$4:$H$11,[66]INPUT!$E$12:$E$62,[66]INPUT!$G$12:$G$62,[66]INPUT!$E$63:$E$91,[66]INPUT!$G$63:$G$91,[66]INPUT!$E$92:$H$99,[66]INPUT!$D$92:$D$99</definedName>
    <definedName name="DATA영역">[66]INPUT!$E$4:$H$11,[66]INPUT!$E$12:$E$62,[66]INPUT!$G$12:$G$62,[66]INPUT!$E$63:$E$91,[66]INPUT!$G$63:$G$91,[66]INPUT!$E$92:$H$99,[66]INPUT!$D$92:$D$99</definedName>
    <definedName name="DATE_TIME" localSheetId="52">#REF!</definedName>
    <definedName name="DATE_TIME" localSheetId="51">#REF!</definedName>
    <definedName name="DATE_TIME" localSheetId="1">#REF!</definedName>
    <definedName name="DATE_TIME">#REF!</definedName>
    <definedName name="DaWk7" localSheetId="51">#REF!</definedName>
    <definedName name="DaWk7">#REF!</definedName>
    <definedName name="dbn_assts">[67]Sheet1!$A$1508:$Q$1541</definedName>
    <definedName name="dbrwk1" localSheetId="52">#REF!</definedName>
    <definedName name="dbrwk1" localSheetId="51">#REF!</definedName>
    <definedName name="dbrwk1" localSheetId="1">#REF!</definedName>
    <definedName name="dbrwk1">#REF!</definedName>
    <definedName name="dbrwk10" localSheetId="51">#REF!</definedName>
    <definedName name="dbrwk10">#REF!</definedName>
    <definedName name="dbrwk11" localSheetId="51">#REF!</definedName>
    <definedName name="dbrwk11">#REF!</definedName>
    <definedName name="dbrwk12" localSheetId="51">#REF!</definedName>
    <definedName name="dbrwk12">#REF!</definedName>
    <definedName name="dbrwk2" localSheetId="51">#REF!</definedName>
    <definedName name="dbrwk2">#REF!</definedName>
    <definedName name="dbrwk3" localSheetId="51">#REF!</definedName>
    <definedName name="dbrwk3">#REF!</definedName>
    <definedName name="dbrwk4" localSheetId="51">#REF!</definedName>
    <definedName name="dbrwk4">#REF!</definedName>
    <definedName name="dbrwk5" localSheetId="51">#REF!</definedName>
    <definedName name="dbrwk5">#REF!</definedName>
    <definedName name="dbrwk6" localSheetId="51">#REF!</definedName>
    <definedName name="dbrwk6">#REF!</definedName>
    <definedName name="dbrwk7" localSheetId="51">#REF!</definedName>
    <definedName name="dbrwk7">#REF!</definedName>
    <definedName name="dbrwk8" localSheetId="51">#REF!</definedName>
    <definedName name="dbrwk8">#REF!</definedName>
    <definedName name="dbrwk9" localSheetId="51">#REF!</definedName>
    <definedName name="dbrwk9">#REF!</definedName>
    <definedName name="dcrwk1" localSheetId="51">#REF!</definedName>
    <definedName name="dcrwk1">#REF!</definedName>
    <definedName name="dcrwk10" localSheetId="51">#REF!</definedName>
    <definedName name="dcrwk10">#REF!</definedName>
    <definedName name="dcrwk11" localSheetId="51">#REF!</definedName>
    <definedName name="dcrwk11">#REF!</definedName>
    <definedName name="dcrwk12" localSheetId="51">#REF!</definedName>
    <definedName name="dcrwk12">#REF!</definedName>
    <definedName name="dcrwk2" localSheetId="51">#REF!</definedName>
    <definedName name="dcrwk2">#REF!</definedName>
    <definedName name="dcrwk3" localSheetId="51">#REF!</definedName>
    <definedName name="dcrwk3">#REF!</definedName>
    <definedName name="dcrwk4" localSheetId="51">#REF!</definedName>
    <definedName name="dcrwk4">#REF!</definedName>
    <definedName name="dcrwk5" localSheetId="51">#REF!</definedName>
    <definedName name="dcrwk5">#REF!</definedName>
    <definedName name="dcrwk6" localSheetId="51">#REF!</definedName>
    <definedName name="dcrwk6">#REF!</definedName>
    <definedName name="dcrwk7" localSheetId="51">#REF!</definedName>
    <definedName name="dcrwk7">#REF!</definedName>
    <definedName name="dcrwk8" localSheetId="51">#REF!</definedName>
    <definedName name="dcrwk8">#REF!</definedName>
    <definedName name="dcrwk9" localSheetId="51">#REF!</definedName>
    <definedName name="dcrwk9">#REF!</definedName>
    <definedName name="dd">[18]Notes!$A$3</definedName>
    <definedName name="ddd" localSheetId="51">'[16]04REL'!#REF!</definedName>
    <definedName name="ddd">'[16]04REL'!#REF!</definedName>
    <definedName name="DDDD">#REF!</definedName>
    <definedName name="dddddddddddddd">#REF!</definedName>
    <definedName name="dddddddddddddddddddd">#REF!</definedName>
    <definedName name="ddddddddfffff">#REF!</definedName>
    <definedName name="ddffffff">#REF!</definedName>
    <definedName name="ddhgnekv">'[18]B_S Group'!$H$46</definedName>
    <definedName name="DEAHIRE__ES_TA" localSheetId="52">#REF!</definedName>
    <definedName name="DEAHIRE__ES_TA" localSheetId="51">#REF!</definedName>
    <definedName name="DEAHIRE__ES_TA" localSheetId="1">#REF!</definedName>
    <definedName name="DEAHIRE__ES_TA">#REF!</definedName>
    <definedName name="DEAHIRE_ES_TD" localSheetId="51">#REF!</definedName>
    <definedName name="DEAHIRE_ES_TD">#REF!</definedName>
    <definedName name="Debt_Pct">[68]Assumptions!$B$13</definedName>
    <definedName name="DEF" localSheetId="52" hidden="1">#REF!</definedName>
    <definedName name="DEF" localSheetId="51" hidden="1">#REF!</definedName>
    <definedName name="DEF" localSheetId="1" hidden="1">#REF!</definedName>
    <definedName name="DEF" hidden="1">#REF!</definedName>
    <definedName name="DEL_CHK">#N/A</definedName>
    <definedName name="DelDC" localSheetId="51">#REF!</definedName>
    <definedName name="DelDC">#REF!</definedName>
    <definedName name="DelDm" localSheetId="51">#REF!</definedName>
    <definedName name="DelDm">#REF!</definedName>
    <definedName name="DELI">#N/A</definedName>
    <definedName name="Delivery" localSheetId="51">#REF!</definedName>
    <definedName name="Delivery">#REF!</definedName>
    <definedName name="DelType" localSheetId="51">#REF!</definedName>
    <definedName name="DelType">#REF!</definedName>
    <definedName name="demd_supply">#REF!</definedName>
    <definedName name="dep">'[69]Control Sheet'!$C$3:$F$3</definedName>
    <definedName name="deptLookup" localSheetId="52">#REF!</definedName>
    <definedName name="deptLookup" localSheetId="51">#REF!</definedName>
    <definedName name="deptLookup" localSheetId="1">#REF!</definedName>
    <definedName name="deptLookup">#REF!</definedName>
    <definedName name="DESC">#N/A</definedName>
    <definedName name="DESCRIPT">#N/A</definedName>
    <definedName name="DF">#N/A</definedName>
    <definedName name="dfaf" localSheetId="52" hidden="1">{"'장비'!$A$3:$M$12"}</definedName>
    <definedName name="dfaf" localSheetId="51" hidden="1">{"'장비'!$A$3:$M$12"}</definedName>
    <definedName name="dfaf" localSheetId="1" hidden="1">{"'장비'!$A$3:$M$12"}</definedName>
    <definedName name="dfaf" hidden="1">{"'장비'!$A$3:$M$12"}</definedName>
    <definedName name="dfbdff">'[18]B_S Group'!$H$199</definedName>
    <definedName name="dfdfkdf">'[18]B_S Group'!$H$213</definedName>
    <definedName name="dfdhflk">'[18]B_S Group'!$H$258</definedName>
    <definedName name="dftrt" localSheetId="51">[18]BEST_17112006!#REF!</definedName>
    <definedName name="dftrt">[18]BEST_17112006!#REF!</definedName>
    <definedName name="dgxgfzdg" localSheetId="51">#REF!,#REF!</definedName>
    <definedName name="dgxgfzdg">#REF!,#REF!</definedName>
    <definedName name="diameter" localSheetId="51">#REF!</definedName>
    <definedName name="diameter">#REF!</definedName>
    <definedName name="diaphragm" localSheetId="51">#REF!</definedName>
    <definedName name="diaphragm">#REF!</definedName>
    <definedName name="disc" localSheetId="51">#REF!</definedName>
    <definedName name="disc">#REF!</definedName>
    <definedName name="Discom1F1">#REF!</definedName>
    <definedName name="Discom1F2">#REF!</definedName>
    <definedName name="Discom1F3">#REF!</definedName>
    <definedName name="Discom1F4" localSheetId="51">#REF!</definedName>
    <definedName name="Discom1F4">#REF!</definedName>
    <definedName name="Discom1F6" localSheetId="51">#REF!</definedName>
    <definedName name="Discom1F6">#REF!</definedName>
    <definedName name="Discom2F1" localSheetId="51">#REF!</definedName>
    <definedName name="Discom2F1">#REF!</definedName>
    <definedName name="Discom2F2" localSheetId="51">#REF!</definedName>
    <definedName name="Discom2F2">#REF!</definedName>
    <definedName name="Discom2F3" localSheetId="51">#REF!</definedName>
    <definedName name="Discom2F3">#REF!</definedName>
    <definedName name="Discom2F4" localSheetId="51">#REF!</definedName>
    <definedName name="Discom2F4">#REF!</definedName>
    <definedName name="Discom2F6" localSheetId="51">#REF!</definedName>
    <definedName name="Discom2F6">#REF!</definedName>
    <definedName name="DKM" localSheetId="52" hidden="1">{#N/A,#N/A,FALSE,"Form 1.1";#N/A,#N/A,FALSE,"Sch-VI";#N/A,#N/A,FALSE,"Form 1.1a";#N/A,#N/A,FALSE,"1.1b";#N/A,#N/A,FALSE,"1.1 c";#N/A,#N/A,FALSE,"1.1d";#N/A,#N/A,FALSE,"1.1e";#N/A,#N/A,FALSE,"1.1f";#N/A,#N/A,FALSE,"Capitalisation";#N/A,#N/A,FALSE,"Invt.Plan";#N/A,#N/A,FALSE,"1.1g";#N/A,#N/A,FALSE,"Other Lease";#N/A,#N/A,FALSE,"1.1h";#N/A,#N/A,FALSE,"1.1i";#N/A,#N/A,FALSE,"1.2";#N/A,#N/A,FALSE,"1.3";#N/A,#N/A,FALSE,"1.3b";#N/A,#N/A,FALSE,"1.3c";#N/A,#N/A,FALSE,"1.3d";#N/A,#N/A,FALSE,"1.3e";#N/A,#N/A,FALSE,"1.4";#N/A,#N/A,FALSE,"1.5";#N/A,#N/A,FALSE,"1.6";#N/A,#N/A,FALSE,"2.1 (transco)";#N/A,#N/A,FALSE,"2.1(Discoms)";#N/A,#N/A,FALSE,"4.1 (Transco)";#N/A,#N/A,FALSE,"4.1 (Discoms)";#N/A,#N/A,FALSE,"4.2 (Transco)";#N/A,#N/A,FALSE,"4.2 (Discoms)";#N/A,#N/A,FALSE,"Load Shedding";#N/A,#N/A,FALSE,"Overloading";#N/A,#N/A,FALSE,"Recvbls-Ageing";#N/A,#N/A,FALSE,"Pending . Conn"}</definedName>
    <definedName name="DKM" localSheetId="1" hidden="1">{#N/A,#N/A,FALSE,"Form 1.1";#N/A,#N/A,FALSE,"Sch-VI";#N/A,#N/A,FALSE,"Form 1.1a";#N/A,#N/A,FALSE,"1.1b";#N/A,#N/A,FALSE,"1.1 c";#N/A,#N/A,FALSE,"1.1d";#N/A,#N/A,FALSE,"1.1e";#N/A,#N/A,FALSE,"1.1f";#N/A,#N/A,FALSE,"Capitalisation";#N/A,#N/A,FALSE,"Invt.Plan";#N/A,#N/A,FALSE,"1.1g";#N/A,#N/A,FALSE,"Other Lease";#N/A,#N/A,FALSE,"1.1h";#N/A,#N/A,FALSE,"1.1i";#N/A,#N/A,FALSE,"1.2";#N/A,#N/A,FALSE,"1.3";#N/A,#N/A,FALSE,"1.3b";#N/A,#N/A,FALSE,"1.3c";#N/A,#N/A,FALSE,"1.3d";#N/A,#N/A,FALSE,"1.3e";#N/A,#N/A,FALSE,"1.4";#N/A,#N/A,FALSE,"1.5";#N/A,#N/A,FALSE,"1.6";#N/A,#N/A,FALSE,"2.1 (transco)";#N/A,#N/A,FALSE,"2.1(Discoms)";#N/A,#N/A,FALSE,"4.1 (Transco)";#N/A,#N/A,FALSE,"4.1 (Discoms)";#N/A,#N/A,FALSE,"4.2 (Transco)";#N/A,#N/A,FALSE,"4.2 (Discoms)";#N/A,#N/A,FALSE,"Load Shedding";#N/A,#N/A,FALSE,"Overloading";#N/A,#N/A,FALSE,"Recvbls-Ageing";#N/A,#N/A,FALSE,"Pending . Conn"}</definedName>
    <definedName name="DKM" hidden="1">{#N/A,#N/A,FALSE,"Form 1.1";#N/A,#N/A,FALSE,"Sch-VI";#N/A,#N/A,FALSE,"Form 1.1a";#N/A,#N/A,FALSE,"1.1b";#N/A,#N/A,FALSE,"1.1 c";#N/A,#N/A,FALSE,"1.1d";#N/A,#N/A,FALSE,"1.1e";#N/A,#N/A,FALSE,"1.1f";#N/A,#N/A,FALSE,"Capitalisation";#N/A,#N/A,FALSE,"Invt.Plan";#N/A,#N/A,FALSE,"1.1g";#N/A,#N/A,FALSE,"Other Lease";#N/A,#N/A,FALSE,"1.1h";#N/A,#N/A,FALSE,"1.1i";#N/A,#N/A,FALSE,"1.2";#N/A,#N/A,FALSE,"1.3";#N/A,#N/A,FALSE,"1.3b";#N/A,#N/A,FALSE,"1.3c";#N/A,#N/A,FALSE,"1.3d";#N/A,#N/A,FALSE,"1.3e";#N/A,#N/A,FALSE,"1.4";#N/A,#N/A,FALSE,"1.5";#N/A,#N/A,FALSE,"1.6";#N/A,#N/A,FALSE,"2.1 (transco)";#N/A,#N/A,FALSE,"2.1(Discoms)";#N/A,#N/A,FALSE,"4.1 (Transco)";#N/A,#N/A,FALSE,"4.1 (Discoms)";#N/A,#N/A,FALSE,"4.2 (Transco)";#N/A,#N/A,FALSE,"4.2 (Discoms)";#N/A,#N/A,FALSE,"Load Shedding";#N/A,#N/A,FALSE,"Overloading";#N/A,#N/A,FALSE,"Recvbls-Ageing";#N/A,#N/A,FALSE,"Pending . Conn"}</definedName>
    <definedName name="dom" localSheetId="51">#REF!</definedName>
    <definedName name="dom">#REF!</definedName>
    <definedName name="dp">#REF!</definedName>
    <definedName name="dpc">'[70]dpc cost'!$D$1</definedName>
    <definedName name="DPCHDG" localSheetId="52">#REF!</definedName>
    <definedName name="DPCHDG" localSheetId="51">#REF!</definedName>
    <definedName name="DPCHDG" localSheetId="1">#REF!</definedName>
    <definedName name="DPCHDG">#REF!</definedName>
    <definedName name="DR" localSheetId="51" hidden="1">#REF!</definedName>
    <definedName name="DR" hidden="1">#REF!</definedName>
    <definedName name="drain_trap" localSheetId="51">#REF!</definedName>
    <definedName name="drain_trap">#REF!</definedName>
    <definedName name="DRAW" localSheetId="51">#REF!</definedName>
    <definedName name="DRAW">#REF!</definedName>
    <definedName name="dsds">#REF!</definedName>
    <definedName name="dsfdfADF" localSheetId="51">#REF!</definedName>
    <definedName name="dsfdfADF">#REF!</definedName>
    <definedName name="dual_plate_check" localSheetId="51">#REF!</definedName>
    <definedName name="dual_plate_check">#REF!</definedName>
    <definedName name="dumppr" localSheetId="51">#REF!</definedName>
    <definedName name="dumppr">#REF!</definedName>
    <definedName name="duplex_strainer" localSheetId="51">#REF!</definedName>
    <definedName name="duplex_strainer">#REF!</definedName>
    <definedName name="dw" localSheetId="52" hidden="1">{"'Sheet1'!$L$16"}</definedName>
    <definedName name="dw" localSheetId="51" hidden="1">{"'Sheet1'!$L$16"}</definedName>
    <definedName name="dw" localSheetId="1" hidden="1">{"'Sheet1'!$L$16"}</definedName>
    <definedName name="dw" hidden="1">{"'Sheet1'!$L$16"}</definedName>
    <definedName name="DWG_NO">'[19]해외 기술훈련비 (합계)'!#REF!</definedName>
    <definedName name="DWGNO">'[19]해외 기술훈련비 (합계)'!#REF!</definedName>
    <definedName name="DWG대장_DWG_대장__2__List" localSheetId="52">#REF!</definedName>
    <definedName name="DWG대장_DWG_대장__2__List" localSheetId="51">#REF!</definedName>
    <definedName name="DWG대장_DWG_대장__2__List" localSheetId="1">#REF!</definedName>
    <definedName name="DWG대장_DWG_대장__2__List">#REF!</definedName>
    <definedName name="DXXX" localSheetId="51">[27]현장지지물물량!$1:$8</definedName>
    <definedName name="DXXX">[27]현장지지물물량!$A$1:$IV$8</definedName>
    <definedName name="dxzxxx" localSheetId="51">#REF!,#REF!</definedName>
    <definedName name="dxzxxx">#REF!,#REF!</definedName>
    <definedName name="e">[18]Notes!$A$31</definedName>
    <definedName name="E_315MVA_Addl_Page1" localSheetId="52">#REF!</definedName>
    <definedName name="E_315MVA_Addl_Page1" localSheetId="51">#REF!</definedName>
    <definedName name="E_315MVA_Addl_Page1" localSheetId="1">#REF!</definedName>
    <definedName name="E_315MVA_Addl_Page1">#REF!</definedName>
    <definedName name="E_315MVA_Addl_Page2" localSheetId="51">#REF!</definedName>
    <definedName name="E_315MVA_Addl_Page2">#REF!</definedName>
    <definedName name="eCIiIiÞA_Iª">#N/A</definedName>
    <definedName name="EE" localSheetId="51">#REF!</definedName>
    <definedName name="EE">#REF!</definedName>
    <definedName name="EEE" localSheetId="51">#REF!</definedName>
    <definedName name="EEE">#REF!</definedName>
    <definedName name="eeee">#N/A</definedName>
    <definedName name="efgvfdv" localSheetId="51">[18]BEST_17112006!#REF!</definedName>
    <definedName name="efgvfdv">[18]BEST_17112006!#REF!</definedName>
    <definedName name="egtdgtgxdg" localSheetId="51">#REF!</definedName>
    <definedName name="egtdgtgxdg">#REF!</definedName>
    <definedName name="ELE.EQUIP_ES_TA" localSheetId="51">#REF!</definedName>
    <definedName name="ELE.EQUIP_ES_TA">#REF!</definedName>
    <definedName name="ELEC.EQUIP_ES_TD" localSheetId="51">#REF!</definedName>
    <definedName name="ELEC.EQUIP_ES_TD">#REF!</definedName>
    <definedName name="ENR_BEST_BEF" localSheetId="51">#REF!</definedName>
    <definedName name="ENR_BEST_BEF">#REF!</definedName>
    <definedName name="ENR_BSES_AFT" localSheetId="51">#REF!</definedName>
    <definedName name="ENR_BSES_AFT">#REF!</definedName>
    <definedName name="ENR_BSES_BEF" localSheetId="51">#REF!</definedName>
    <definedName name="ENR_BSES_BEF">#REF!</definedName>
    <definedName name="ENR_BSES220_BEF" localSheetId="51">#REF!</definedName>
    <definedName name="ENR_BSES220_BEF">#REF!</definedName>
    <definedName name="ENR_TIR_BEF" localSheetId="51">#REF!</definedName>
    <definedName name="ENR_TIR_BEF">#REF!</definedName>
    <definedName name="EOL" localSheetId="51">#REF!</definedName>
    <definedName name="EOL">#REF!</definedName>
    <definedName name="ER" localSheetId="58">[54]!GUESTPNT</definedName>
    <definedName name="ER" localSheetId="59">[54]!GUESTPNT</definedName>
    <definedName name="ER">[54]!GUESTPNT</definedName>
    <definedName name="Erai_level">[71]Level_qty!$B$8:$C$528</definedName>
    <definedName name="ere" localSheetId="52">#REF!</definedName>
    <definedName name="ere" localSheetId="51">#REF!</definedName>
    <definedName name="ere" localSheetId="1">#REF!</definedName>
    <definedName name="ere">#REF!</definedName>
    <definedName name="es" localSheetId="52" hidden="1">{"'Sheet1'!$L$16"}</definedName>
    <definedName name="es" localSheetId="51" hidden="1">{"'Sheet1'!$L$16"}</definedName>
    <definedName name="es" localSheetId="1" hidden="1">{"'Sheet1'!$L$16"}</definedName>
    <definedName name="es" hidden="1">{"'Sheet1'!$L$16"}</definedName>
    <definedName name="Esc_AGExp">[72]Assumptions!$B$4</definedName>
    <definedName name="Esc_Coal">[68]Assumptions!$B$6</definedName>
    <definedName name="Esc_DomGas">[68]Assumptions!$B$8</definedName>
    <definedName name="Esc_EmpExp">[68]Assumptions!$B$3</definedName>
    <definedName name="Esc_LNGas">[68]Assumptions!$B$9</definedName>
    <definedName name="Esc_Oil">[68]Assumptions!$B$7</definedName>
    <definedName name="Esc_OtherVarCharge">[68]Assumptions!$B$10</definedName>
    <definedName name="Esc_RMExp">[72]Assumptions!$B$5</definedName>
    <definedName name="EscAGExp" localSheetId="52">#REF!</definedName>
    <definedName name="EscAGExp" localSheetId="51">#REF!</definedName>
    <definedName name="EscAGExp" localSheetId="1">#REF!</definedName>
    <definedName name="EscAGExp">#REF!</definedName>
    <definedName name="EscCoal" localSheetId="51">#REF!</definedName>
    <definedName name="EscCoal">#REF!</definedName>
    <definedName name="EscDomGas" localSheetId="51">#REF!</definedName>
    <definedName name="EscDomGas">#REF!</definedName>
    <definedName name="EscEmpExp" localSheetId="51">#REF!</definedName>
    <definedName name="EscEmpExp">#REF!</definedName>
    <definedName name="EscLNGas" localSheetId="51">#REF!</definedName>
    <definedName name="EscLNGas">#REF!</definedName>
    <definedName name="EscOil" localSheetId="51">#REF!</definedName>
    <definedName name="EscOil">#REF!</definedName>
    <definedName name="EscOtherIncome" localSheetId="51">#REF!</definedName>
    <definedName name="EscOtherIncome">#REF!</definedName>
    <definedName name="EscOtherVarCharge" localSheetId="51">#REF!</definedName>
    <definedName name="EscOtherVarCharge">#REF!</definedName>
    <definedName name="EscRMExp" localSheetId="51">#REF!</definedName>
    <definedName name="EscRMExp">#REF!</definedName>
    <definedName name="ese">[18]BEST_17112006!$C$20</definedName>
    <definedName name="et" localSheetId="52" hidden="1">{"'Sheet1'!$L$16"}</definedName>
    <definedName name="et" localSheetId="51" hidden="1">{"'Sheet1'!$L$16"}</definedName>
    <definedName name="et" localSheetId="1" hidden="1">{"'Sheet1'!$L$16"}</definedName>
    <definedName name="et" hidden="1">{"'Sheet1'!$L$16"}</definedName>
    <definedName name="EW" localSheetId="58">[54]!RTPNT</definedName>
    <definedName name="EW" localSheetId="59">[54]!RTPNT</definedName>
    <definedName name="EW">[54]!RTPNT</definedName>
    <definedName name="ewrefc">[18]BEST_17112006!$A$381</definedName>
    <definedName name="ex_joint" localSheetId="51">#REF!</definedName>
    <definedName name="ex_joint">#REF!</definedName>
    <definedName name="Excel_BuiltIn_Print_Area_10" localSheetId="51">#REF!</definedName>
    <definedName name="Excel_BuiltIn_Print_Area_10">#REF!</definedName>
    <definedName name="Excel_BuiltIn_Print_Area_11" localSheetId="51">#REF!</definedName>
    <definedName name="Excel_BuiltIn_Print_Area_11">#REF!</definedName>
    <definedName name="Excel_BuiltIn_Print_Area_12" localSheetId="51">#REF!</definedName>
    <definedName name="Excel_BuiltIn_Print_Area_12">#REF!</definedName>
    <definedName name="Excel_BuiltIn_Print_Area_15" localSheetId="51">#REF!</definedName>
    <definedName name="Excel_BuiltIn_Print_Area_15">#REF!</definedName>
    <definedName name="Excel_BuiltIn_Print_Area_3" localSheetId="51">#REF!</definedName>
    <definedName name="Excel_BuiltIn_Print_Area_3">#REF!</definedName>
    <definedName name="Excel_BuiltIn_Print_Area_4" localSheetId="51">#REF!</definedName>
    <definedName name="Excel_BuiltIn_Print_Area_4">#REF!</definedName>
    <definedName name="Excel_BuiltIn_Print_Area_5" localSheetId="51">[73]Sheet14!#REF!</definedName>
    <definedName name="Excel_BuiltIn_Print_Area_5">[73]Sheet14!#REF!</definedName>
    <definedName name="Excel_BuiltIn_Print_Area_7" localSheetId="52">#REF!</definedName>
    <definedName name="Excel_BuiltIn_Print_Area_7" localSheetId="51">#REF!</definedName>
    <definedName name="Excel_BuiltIn_Print_Area_7" localSheetId="1">#REF!</definedName>
    <definedName name="Excel_BuiltIn_Print_Area_7">#REF!</definedName>
    <definedName name="Excel_BuiltIn_Print_Area_8" localSheetId="51">#REF!</definedName>
    <definedName name="Excel_BuiltIn_Print_Area_8">#REF!</definedName>
    <definedName name="Excel_BuiltIn_Print_Area_9" localSheetId="51">#REF!</definedName>
    <definedName name="Excel_BuiltIn_Print_Area_9">#REF!</definedName>
    <definedName name="EXTEN" localSheetId="51">#REF!</definedName>
    <definedName name="EXTEN">#REF!</definedName>
    <definedName name="_xlnm.Extract" localSheetId="51">#REF!</definedName>
    <definedName name="_xlnm.Extract">#REF!</definedName>
    <definedName name="Extract_MI" localSheetId="51">#REF!</definedName>
    <definedName name="Extract_MI">#REF!</definedName>
    <definedName name="f" localSheetId="51">[18]Notes!$A$33</definedName>
    <definedName name="f">[18]Notes!$A$33</definedName>
    <definedName name="FAX" localSheetId="52">#REF!</definedName>
    <definedName name="FAX" localSheetId="51">#REF!</definedName>
    <definedName name="FAX" localSheetId="1">#REF!</definedName>
    <definedName name="FAX">#REF!</definedName>
    <definedName name="fcwge">'[18]B_S Group'!$H$15</definedName>
    <definedName name="fd" localSheetId="52" hidden="1">{"'Sheet1'!$L$16"}</definedName>
    <definedName name="fd" localSheetId="51" hidden="1">{"'Sheet1'!$L$16"}</definedName>
    <definedName name="fd" localSheetId="1" hidden="1">{"'Sheet1'!$L$16"}</definedName>
    <definedName name="fd" hidden="1">{"'Sheet1'!$L$16"}</definedName>
    <definedName name="fdgk" localSheetId="52" hidden="1">{"'Sheet1'!$L$16"}</definedName>
    <definedName name="fdgk" localSheetId="51" hidden="1">{"'Sheet1'!$L$16"}</definedName>
    <definedName name="fdgk" localSheetId="1" hidden="1">{"'Sheet1'!$L$16"}</definedName>
    <definedName name="fdgk" hidden="1">{"'Sheet1'!$L$16"}</definedName>
    <definedName name="fdksldls">#REF!</definedName>
    <definedName name="fdxfds" localSheetId="51">#REF!</definedName>
    <definedName name="fdxfds">#REF!</definedName>
    <definedName name="fe" localSheetId="52" hidden="1">{"'Sheet1'!$L$16"}</definedName>
    <definedName name="fe" localSheetId="51" hidden="1">{"'Sheet1'!$L$16"}</definedName>
    <definedName name="fe" localSheetId="1" hidden="1">{"'Sheet1'!$L$16"}</definedName>
    <definedName name="fe" hidden="1">{"'Sheet1'!$L$16"}</definedName>
    <definedName name="fefcdf">[18]BEST_17112006!$B$503:$M$504</definedName>
    <definedName name="feftgvrg">[18]BEST_17112006!$A$428</definedName>
    <definedName name="ferdwer" localSheetId="51" hidden="1">#REF!</definedName>
    <definedName name="ferdwer" hidden="1">#REF!</definedName>
    <definedName name="fertgfr">[18]BEST_17112006!$A$391</definedName>
    <definedName name="ff" localSheetId="51">#REF!</definedName>
    <definedName name="ff">#REF!</definedName>
    <definedName name="FFF">'[74]MOB-MAN1'!$D$40:$BW$49</definedName>
    <definedName name="fffff" localSheetId="52">#REF!</definedName>
    <definedName name="fffff" localSheetId="1">#REF!</definedName>
    <definedName name="fffff">#REF!</definedName>
    <definedName name="FFr">'[19]#REF'!$H$24</definedName>
    <definedName name="FFr00">'[19]#REF'!$H$29</definedName>
    <definedName name="fgdgchjgd" localSheetId="51">#REF!</definedName>
    <definedName name="fgdgchjgd">#REF!</definedName>
    <definedName name="fgsdfds">'[18]B_S Group'!$H$23</definedName>
    <definedName name="FinCharge">[68]Assumptions!$B$25</definedName>
    <definedName name="FITTING">#N/A</definedName>
    <definedName name="Fixed_Asset_BS" localSheetId="51">#REF!</definedName>
    <definedName name="Fixed_Asset_BS">#REF!</definedName>
    <definedName name="Fixed_Assets" localSheetId="51">#REF!</definedName>
    <definedName name="Fixed_Assets">#REF!</definedName>
    <definedName name="Fixed_Assets_Schedule" localSheetId="51">#REF!</definedName>
    <definedName name="Fixed_Assets_Schedule">#REF!</definedName>
    <definedName name="fkkfkfkedf">#REF!</definedName>
    <definedName name="FLG" localSheetId="51">#REF!</definedName>
    <definedName name="FLG">#REF!</definedName>
    <definedName name="FLG_Orifice" localSheetId="51">#REF!</definedName>
    <definedName name="FLG_Orifice">#REF!</definedName>
    <definedName name="FN3.1" localSheetId="51" hidden="1">[28]CE!#REF!</definedName>
    <definedName name="FN3.1" hidden="1">[28]CE!#REF!</definedName>
    <definedName name="FR">'[54]해외 연수비용 계산-삭제'!#REF!</definedName>
    <definedName name="fs" localSheetId="52" hidden="1">{"'Sheet1'!$L$16"}</definedName>
    <definedName name="fs" localSheetId="51" hidden="1">{"'Sheet1'!$L$16"}</definedName>
    <definedName name="fs" localSheetId="1" hidden="1">{"'Sheet1'!$L$16"}</definedName>
    <definedName name="fs" hidden="1">{"'Sheet1'!$L$16"}</definedName>
    <definedName name="fsfsgfs">'[18]B_S Group'!$H$229</definedName>
    <definedName name="fssdzfzsdffzsdf" localSheetId="52">#REF!</definedName>
    <definedName name="fssdzfzsdffzsdf" localSheetId="51">#REF!</definedName>
    <definedName name="fssdzfzsdffzsdf" localSheetId="1">#REF!</definedName>
    <definedName name="fssdzfzsdffzsdf">#REF!</definedName>
    <definedName name="Fuel_Exp_CY" localSheetId="51">#REF!</definedName>
    <definedName name="Fuel_Exp_CY">#REF!</definedName>
    <definedName name="Fuel_Exp_EY" localSheetId="51">#REF!</definedName>
    <definedName name="Fuel_Exp_EY">#REF!</definedName>
    <definedName name="Fuel_Exp_PY" localSheetId="51">#REF!</definedName>
    <definedName name="Fuel_Exp_PY">#REF!</definedName>
    <definedName name="FUEL_TYPE" localSheetId="51">#REF!</definedName>
    <definedName name="FUEL_TYPE">#REF!</definedName>
    <definedName name="FUELCOST" localSheetId="51">'[5]Financial Estimates'!#REF!</definedName>
    <definedName name="FUELCOST">'[5]Financial Estimates'!#REF!</definedName>
    <definedName name="FULL" localSheetId="51">'[5]Financial Estimates'!$A$8:$B$342</definedName>
    <definedName name="FULL">'[5]Financial Estimates'!$A$8:$B$342</definedName>
    <definedName name="FULL_PG1" localSheetId="51">'[5]Financial Estimates'!$A$7:$D$95</definedName>
    <definedName name="FULL_PG1">'[5]Financial Estimates'!$A$7:$D$95</definedName>
    <definedName name="FULL_PRINT" localSheetId="51">#REF!</definedName>
    <definedName name="FULL_PRINT">#REF!</definedName>
    <definedName name="FULL_REPORT" localSheetId="51">#REF!</definedName>
    <definedName name="FULL_REPORT">#REF!</definedName>
    <definedName name="FULL2001" localSheetId="51">'[5]Financial Estimates'!$A$8:$D$342</definedName>
    <definedName name="FULL2001">'[5]Financial Estimates'!$A$8:$D$342</definedName>
    <definedName name="FUND" localSheetId="51">[75]rough!$BJ$44</definedName>
    <definedName name="FUND">[75]rough!$BJ$44</definedName>
    <definedName name="FURNITURE_ES_TA" localSheetId="52">#REF!</definedName>
    <definedName name="FURNITURE_ES_TA" localSheetId="51">#REF!</definedName>
    <definedName name="FURNITURE_ES_TA" localSheetId="1">#REF!</definedName>
    <definedName name="FURNITURE_ES_TA">#REF!</definedName>
    <definedName name="FURNITURE_ES_TD" localSheetId="51">#REF!</definedName>
    <definedName name="FURNITURE_ES_TD">#REF!</definedName>
    <definedName name="FURNITURE_GEN_TA" localSheetId="51">#REF!</definedName>
    <definedName name="FURNITURE_GEN_TA">#REF!</definedName>
    <definedName name="FURNITURE_GEN_TD" localSheetId="51">#REF!</definedName>
    <definedName name="FURNITURE_GEN_TD">#REF!</definedName>
    <definedName name="fweferg">[18]BEST_17112006!$A$174</definedName>
    <definedName name="fy" localSheetId="51">#REF!</definedName>
    <definedName name="fy">#REF!</definedName>
    <definedName name="g">[18]Notes!$A$35</definedName>
    <definedName name="G_P_P">#N/A</definedName>
    <definedName name="G083BAAN1" localSheetId="51">#REF!</definedName>
    <definedName name="G083BAAN1">#REF!</definedName>
    <definedName name="gaga" localSheetId="51">#REF!</definedName>
    <definedName name="gaga">#REF!</definedName>
    <definedName name="gahZh" localSheetId="51">#REF!</definedName>
    <definedName name="gahZh">#REF!</definedName>
    <definedName name="gajkahuah" localSheetId="51">#REF!</definedName>
    <definedName name="gajkahuah">#REF!</definedName>
    <definedName name="gasgdskhdu" localSheetId="51">#REF!,#REF!</definedName>
    <definedName name="gasgdskhdu">#REF!,#REF!</definedName>
    <definedName name="gate" localSheetId="51">#REF!</definedName>
    <definedName name="gate">#REF!</definedName>
    <definedName name="gdgfg" localSheetId="51">#REF!,#REF!</definedName>
    <definedName name="gdgfg">#REF!,#REF!</definedName>
    <definedName name="GENERATION" localSheetId="51">'[5]Financial Estimates'!#REF!</definedName>
    <definedName name="GENERATION">'[5]Financial Estimates'!#REF!</definedName>
    <definedName name="GENPUF">'[42]Executive Summary -Thermal'!$A$4:$H$161</definedName>
    <definedName name="gf">'[76]ins spares'!#REF!</definedName>
    <definedName name="gg" localSheetId="52">#REF!</definedName>
    <definedName name="gg" localSheetId="51">#REF!</definedName>
    <definedName name="gg" localSheetId="1">#REF!</definedName>
    <definedName name="gg">#REF!</definedName>
    <definedName name="ggg">#N/A</definedName>
    <definedName name="gggggggg" localSheetId="52">#REF!</definedName>
    <definedName name="gggggggg" localSheetId="1">#REF!</definedName>
    <definedName name="gggggggg">#REF!</definedName>
    <definedName name="ghdfhfg">'[18]B_S Group'!$H$107</definedName>
    <definedName name="ghf" localSheetId="52">#REF!</definedName>
    <definedName name="ghf" localSheetId="1">#REF!</definedName>
    <definedName name="ghf">#REF!</definedName>
    <definedName name="ghhfh" localSheetId="52">#REF!</definedName>
    <definedName name="ghhfh" localSheetId="51">#REF!</definedName>
    <definedName name="ghhfh" localSheetId="1">#REF!</definedName>
    <definedName name="ghhfh">#REF!</definedName>
    <definedName name="gid" localSheetId="52" hidden="1">{"'Sheet1'!$L$16"}</definedName>
    <definedName name="gid" localSheetId="51" hidden="1">{"'Sheet1'!$L$16"}</definedName>
    <definedName name="gid" localSheetId="1" hidden="1">{"'Sheet1'!$L$16"}</definedName>
    <definedName name="gid" hidden="1">{"'Sheet1'!$L$16"}</definedName>
    <definedName name="gj" localSheetId="52" hidden="1">{"'Sheet1'!$L$16"}</definedName>
    <definedName name="gj" localSheetId="51" hidden="1">{"'Sheet1'!$L$16"}</definedName>
    <definedName name="gj" localSheetId="1" hidden="1">{"'Sheet1'!$L$16"}</definedName>
    <definedName name="gj" hidden="1">{"'Sheet1'!$L$16"}</definedName>
    <definedName name="gjjjj">#REF!</definedName>
    <definedName name="gkd" localSheetId="52" hidden="1">{"'Sheet1'!$L$16"}</definedName>
    <definedName name="gkd" localSheetId="51" hidden="1">{"'Sheet1'!$L$16"}</definedName>
    <definedName name="gkd" localSheetId="1" hidden="1">{"'Sheet1'!$L$16"}</definedName>
    <definedName name="gkd" hidden="1">{"'Sheet1'!$L$16"}</definedName>
    <definedName name="globe" localSheetId="51">#REF!</definedName>
    <definedName name="globe">#REF!</definedName>
    <definedName name="GoBack">#N/A</definedName>
    <definedName name="GP" localSheetId="51">#REF!</definedName>
    <definedName name="GP">#REF!</definedName>
    <definedName name="GR" localSheetId="51">#REF!</definedName>
    <definedName name="GR">#REF!</definedName>
    <definedName name="GR_NO">#N/A</definedName>
    <definedName name="GRNO" localSheetId="51">'[19]해외 기술훈련비 (합계)'!#REF!</definedName>
    <definedName name="GRNO">'[19]해외 기술훈련비 (합계)'!#REF!</definedName>
    <definedName name="GROUP1">#N/A</definedName>
    <definedName name="GROUP10" localSheetId="51">'[50]ITEM-LIST'!#REF!</definedName>
    <definedName name="GROUP10">'[50]ITEM-LIST'!#REF!</definedName>
    <definedName name="GROUP11" localSheetId="51">'[50]ITEM-LIST'!#REF!</definedName>
    <definedName name="GROUP11">'[50]ITEM-LIST'!#REF!</definedName>
    <definedName name="GROUP12" localSheetId="51">'[50]ITEM-LIST'!#REF!</definedName>
    <definedName name="GROUP12">'[50]ITEM-LIST'!#REF!</definedName>
    <definedName name="GROUP13" localSheetId="51">'[50]ITEM-LIST'!#REF!</definedName>
    <definedName name="GROUP13">'[50]ITEM-LIST'!#REF!</definedName>
    <definedName name="GROUP14" localSheetId="51">'[50]ITEM-LIST'!#REF!</definedName>
    <definedName name="GROUP14">'[50]ITEM-LIST'!#REF!</definedName>
    <definedName name="GROUP15" localSheetId="51">'[50]ITEM-LIST'!#REF!</definedName>
    <definedName name="GROUP15">'[50]ITEM-LIST'!#REF!</definedName>
    <definedName name="GROUP2">#N/A</definedName>
    <definedName name="GROUP3">#N/A</definedName>
    <definedName name="GROUP4">#N/A</definedName>
    <definedName name="GROUP5">#N/A</definedName>
    <definedName name="GROUP6">#N/A</definedName>
    <definedName name="GROUP7">#N/A</definedName>
    <definedName name="GROUP8">#N/A</definedName>
    <definedName name="GROUP9" localSheetId="51">'[50]ITEM-LIST'!#REF!</definedName>
    <definedName name="GROUP9">'[50]ITEM-LIST'!#REF!</definedName>
    <definedName name="GrphActSales" localSheetId="52">#REF!</definedName>
    <definedName name="GrphActSales" localSheetId="51">#REF!</definedName>
    <definedName name="GrphActSales" localSheetId="1">#REF!</definedName>
    <definedName name="GrphActSales">#REF!</definedName>
    <definedName name="GrphActStk" localSheetId="51">#REF!</definedName>
    <definedName name="GrphActStk">#REF!</definedName>
    <definedName name="GrphPlanSales" localSheetId="51">#REF!</definedName>
    <definedName name="GrphPlanSales">#REF!</definedName>
    <definedName name="GrphTgtStk" localSheetId="51">#REF!</definedName>
    <definedName name="GrphTgtStk">#REF!</definedName>
    <definedName name="gshjgshgs" localSheetId="51">#REF!</definedName>
    <definedName name="gshjgshgs">#REF!</definedName>
    <definedName name="GT_TYPE" localSheetId="51">#REF!</definedName>
    <definedName name="GT_TYPE">#REF!</definedName>
    <definedName name="GUESTPNT" localSheetId="58">[19]!GUESTPNT</definedName>
    <definedName name="GUESTPNT" localSheetId="59">[19]!GUESTPNT</definedName>
    <definedName name="GUESTPNT">[19]!GUESTPNT</definedName>
    <definedName name="gydgdg" localSheetId="52">#REF!,#REF!</definedName>
    <definedName name="gydgdg" localSheetId="51">#REF!,#REF!</definedName>
    <definedName name="gydgdg" localSheetId="1">#REF!,#REF!</definedName>
    <definedName name="gydgdg">#REF!,#REF!</definedName>
    <definedName name="h" localSheetId="51">'[77]04REL'!#REF!</definedName>
    <definedName name="h">'[77]04REL'!#REF!</definedName>
    <definedName name="H1_">#N/A</definedName>
    <definedName name="H10_">#N/A</definedName>
    <definedName name="H11_">#N/A</definedName>
    <definedName name="H12_">#N/A</definedName>
    <definedName name="H13_">#N/A</definedName>
    <definedName name="H14_">#N/A</definedName>
    <definedName name="H15_">#N/A</definedName>
    <definedName name="H16_">#N/A</definedName>
    <definedName name="H17_">#N/A</definedName>
    <definedName name="H2_">#N/A</definedName>
    <definedName name="H3_">#N/A</definedName>
    <definedName name="H4_">#N/A</definedName>
    <definedName name="H5_">#N/A</definedName>
    <definedName name="H6_">#N/A</definedName>
    <definedName name="H7_">#N/A</definedName>
    <definedName name="H8_">#N/A</definedName>
    <definedName name="H9_">#N/A</definedName>
    <definedName name="hahshuis" localSheetId="51">#REF!</definedName>
    <definedName name="hahshuis">#REF!</definedName>
    <definedName name="hasnain" localSheetId="51">#REF!</definedName>
    <definedName name="hasnain">#REF!</definedName>
    <definedName name="hdhdjh" localSheetId="51">#REF!</definedName>
    <definedName name="hdhdjh">#REF!</definedName>
    <definedName name="head" localSheetId="52" hidden="1">{#N/A,#N/A,FALSE,"Form 1.1";#N/A,#N/A,FALSE,"Sch-VI";#N/A,#N/A,FALSE,"Form 1.1a";#N/A,#N/A,FALSE,"1.1b";#N/A,#N/A,FALSE,"1.1 c";#N/A,#N/A,FALSE,"1.1d";#N/A,#N/A,FALSE,"1.1e";#N/A,#N/A,FALSE,"1.1f";#N/A,#N/A,FALSE,"Capitalisation";#N/A,#N/A,FALSE,"Invt.Plan";#N/A,#N/A,FALSE,"1.1g";#N/A,#N/A,FALSE,"Other Lease";#N/A,#N/A,FALSE,"1.1h";#N/A,#N/A,FALSE,"1.1i";#N/A,#N/A,FALSE,"1.2";#N/A,#N/A,FALSE,"1.3";#N/A,#N/A,FALSE,"1.3b";#N/A,#N/A,FALSE,"1.3c";#N/A,#N/A,FALSE,"1.3d";#N/A,#N/A,FALSE,"1.3e";#N/A,#N/A,FALSE,"1.4";#N/A,#N/A,FALSE,"1.5";#N/A,#N/A,FALSE,"1.6";#N/A,#N/A,FALSE,"2.1 (transco)";#N/A,#N/A,FALSE,"2.1(Discoms)";#N/A,#N/A,FALSE,"4.1 (Transco)";#N/A,#N/A,FALSE,"4.1 (Discoms)";#N/A,#N/A,FALSE,"4.2 (Transco)";#N/A,#N/A,FALSE,"4.2 (Discoms)";#N/A,#N/A,FALSE,"Load Shedding";#N/A,#N/A,FALSE,"Overloading";#N/A,#N/A,FALSE,"Recvbls-Ageing";#N/A,#N/A,FALSE,"Pending . Conn"}</definedName>
    <definedName name="head" localSheetId="1" hidden="1">{#N/A,#N/A,FALSE,"Form 1.1";#N/A,#N/A,FALSE,"Sch-VI";#N/A,#N/A,FALSE,"Form 1.1a";#N/A,#N/A,FALSE,"1.1b";#N/A,#N/A,FALSE,"1.1 c";#N/A,#N/A,FALSE,"1.1d";#N/A,#N/A,FALSE,"1.1e";#N/A,#N/A,FALSE,"1.1f";#N/A,#N/A,FALSE,"Capitalisation";#N/A,#N/A,FALSE,"Invt.Plan";#N/A,#N/A,FALSE,"1.1g";#N/A,#N/A,FALSE,"Other Lease";#N/A,#N/A,FALSE,"1.1h";#N/A,#N/A,FALSE,"1.1i";#N/A,#N/A,FALSE,"1.2";#N/A,#N/A,FALSE,"1.3";#N/A,#N/A,FALSE,"1.3b";#N/A,#N/A,FALSE,"1.3c";#N/A,#N/A,FALSE,"1.3d";#N/A,#N/A,FALSE,"1.3e";#N/A,#N/A,FALSE,"1.4";#N/A,#N/A,FALSE,"1.5";#N/A,#N/A,FALSE,"1.6";#N/A,#N/A,FALSE,"2.1 (transco)";#N/A,#N/A,FALSE,"2.1(Discoms)";#N/A,#N/A,FALSE,"4.1 (Transco)";#N/A,#N/A,FALSE,"4.1 (Discoms)";#N/A,#N/A,FALSE,"4.2 (Transco)";#N/A,#N/A,FALSE,"4.2 (Discoms)";#N/A,#N/A,FALSE,"Load Shedding";#N/A,#N/A,FALSE,"Overloading";#N/A,#N/A,FALSE,"Recvbls-Ageing";#N/A,#N/A,FALSE,"Pending . Conn"}</definedName>
    <definedName name="head" hidden="1">{#N/A,#N/A,FALSE,"Form 1.1";#N/A,#N/A,FALSE,"Sch-VI";#N/A,#N/A,FALSE,"Form 1.1a";#N/A,#N/A,FALSE,"1.1b";#N/A,#N/A,FALSE,"1.1 c";#N/A,#N/A,FALSE,"1.1d";#N/A,#N/A,FALSE,"1.1e";#N/A,#N/A,FALSE,"1.1f";#N/A,#N/A,FALSE,"Capitalisation";#N/A,#N/A,FALSE,"Invt.Plan";#N/A,#N/A,FALSE,"1.1g";#N/A,#N/A,FALSE,"Other Lease";#N/A,#N/A,FALSE,"1.1h";#N/A,#N/A,FALSE,"1.1i";#N/A,#N/A,FALSE,"1.2";#N/A,#N/A,FALSE,"1.3";#N/A,#N/A,FALSE,"1.3b";#N/A,#N/A,FALSE,"1.3c";#N/A,#N/A,FALSE,"1.3d";#N/A,#N/A,FALSE,"1.3e";#N/A,#N/A,FALSE,"1.4";#N/A,#N/A,FALSE,"1.5";#N/A,#N/A,FALSE,"1.6";#N/A,#N/A,FALSE,"2.1 (transco)";#N/A,#N/A,FALSE,"2.1(Discoms)";#N/A,#N/A,FALSE,"4.1 (Transco)";#N/A,#N/A,FALSE,"4.1 (Discoms)";#N/A,#N/A,FALSE,"4.2 (Transco)";#N/A,#N/A,FALSE,"4.2 (Discoms)";#N/A,#N/A,FALSE,"Load Shedding";#N/A,#N/A,FALSE,"Overloading";#N/A,#N/A,FALSE,"Recvbls-Ageing";#N/A,#N/A,FALSE,"Pending . Conn"}</definedName>
    <definedName name="HEADER_KFP_ORIGIN_KEY" localSheetId="51">#REF!</definedName>
    <definedName name="HEADER_KFP_ORIGIN_KEY">#REF!</definedName>
    <definedName name="HF" localSheetId="51">'[54]해외 연수비용 계산-삭제'!#REF!</definedName>
    <definedName name="HF">'[54]해외 연수비용 계산-삭제'!#REF!</definedName>
    <definedName name="hfh">[18]BEST_17112006!$C$13</definedName>
    <definedName name="HFOHSD" localSheetId="51">'[36]Executive Summary -Thermal'!$A$4:$H$96</definedName>
    <definedName name="HFOHSD">'[42]Executive Summary -Thermal'!$A$4:$H$96</definedName>
    <definedName name="hgtfhdh" localSheetId="51">'[16]04REL'!#REF!</definedName>
    <definedName name="hgtfhdh">'[16]04REL'!#REF!</definedName>
    <definedName name="HH">#N/A</definedName>
    <definedName name="hhhhhhhhfff">#REF!</definedName>
    <definedName name="hhhhhhhhhhhhhhhhhh">#REF!</definedName>
    <definedName name="hhhuh" localSheetId="51">#REF!</definedName>
    <definedName name="hhhuh">#REF!</definedName>
    <definedName name="hHzhzh" localSheetId="51">#REF!</definedName>
    <definedName name="hHzhzh">#REF!</definedName>
    <definedName name="HJ" localSheetId="51">[54]카메라!#REF!</definedName>
    <definedName name="HJ">[54]카메라!#REF!</definedName>
    <definedName name="hjergbciutybvt">'[18]B_S Group'!$H$349</definedName>
    <definedName name="hjhj">'[76]ins spares'!#REF!</definedName>
    <definedName name="home" localSheetId="52">#REF!</definedName>
    <definedName name="home" localSheetId="1">#REF!</definedName>
    <definedName name="home">#REF!</definedName>
    <definedName name="HPINRCSG" localSheetId="52">#REF!</definedName>
    <definedName name="HPINRCSG" localSheetId="51">#REF!</definedName>
    <definedName name="HPINRCSG" localSheetId="1">#REF!</definedName>
    <definedName name="HPINRCSG">#REF!</definedName>
    <definedName name="hr_u4" localSheetId="51">#REF!</definedName>
    <definedName name="hr_u4">#REF!</definedName>
    <definedName name="hr_u5" localSheetId="51">#REF!</definedName>
    <definedName name="hr_u5">#REF!</definedName>
    <definedName name="hr_u6" localSheetId="51">#REF!</definedName>
    <definedName name="hr_u6">#REF!</definedName>
    <definedName name="hr_u7" localSheetId="51">#REF!</definedName>
    <definedName name="hr_u7">#REF!</definedName>
    <definedName name="hrd" localSheetId="51" hidden="1">#REF!</definedName>
    <definedName name="hrd" hidden="1">#REF!</definedName>
    <definedName name="hsdfhfdsk">'[18]B_S Group'!$H$161</definedName>
    <definedName name="hsgtrheir">'[18]B_S Group'!$H$20</definedName>
    <definedName name="hshhxuhxu" localSheetId="52">#REF!</definedName>
    <definedName name="hshhxuhxu" localSheetId="51">#REF!</definedName>
    <definedName name="hshhxuhxu" localSheetId="1">#REF!</definedName>
    <definedName name="hshhxuhxu">#REF!</definedName>
    <definedName name="HTML" localSheetId="52" hidden="1">{"'장비'!$A$3:$M$12"}</definedName>
    <definedName name="HTML" localSheetId="51" hidden="1">{"'장비'!$A$3:$M$12"}</definedName>
    <definedName name="HTML" localSheetId="1" hidden="1">{"'장비'!$A$3:$M$12"}</definedName>
    <definedName name="HTML" hidden="1">{"'장비'!$A$3:$M$12"}</definedName>
    <definedName name="HTML_Control" localSheetId="52" hidden="1">{"'장비'!$A$3:$M$12"}</definedName>
    <definedName name="HTML_Control" localSheetId="51" hidden="1">{"'장비'!$A$3:$M$12"}</definedName>
    <definedName name="HTML_Control" localSheetId="1" hidden="1">{"'장비'!$A$3:$M$12"}</definedName>
    <definedName name="HTML_Control" hidden="1">{"'장비'!$A$3:$M$12"}</definedName>
    <definedName name="i">[18]Notes!$A$39</definedName>
    <definedName name="IDT">#N/A</definedName>
    <definedName name="ie" localSheetId="52" hidden="1">{"'Sheet1'!$L$16"}</definedName>
    <definedName name="ie" localSheetId="51" hidden="1">{"'Sheet1'!$L$16"}</definedName>
    <definedName name="ie" localSheetId="1" hidden="1">{"'Sheet1'!$L$16"}</definedName>
    <definedName name="ie" hidden="1">{"'Sheet1'!$L$16"}</definedName>
    <definedName name="IELWSALES" localSheetId="51">#REF!</definedName>
    <definedName name="IELWSALES">#REF!</definedName>
    <definedName name="IELYSALES" localSheetId="51">#REF!</definedName>
    <definedName name="IELYSALES">#REF!</definedName>
    <definedName name="IEPLANSALES" localSheetId="51">#REF!</definedName>
    <definedName name="IEPLANSALES">#REF!</definedName>
    <definedName name="IESP" localSheetId="51">#REF!</definedName>
    <definedName name="IESP">#REF!</definedName>
    <definedName name="II">#N/A</definedName>
    <definedName name="iiiiiierygclwmhru">'[18]B_S Group'!$H$348</definedName>
    <definedName name="Impact.of.wage.revision">'[78]MSETCL Support'!$M$3:$M$4</definedName>
    <definedName name="IN">[3]DLC!$GS$2:$HF$22</definedName>
    <definedName name="inc" localSheetId="51">'[79]per unit'!#REF!</definedName>
    <definedName name="inc">'[79]per unit'!#REF!</definedName>
    <definedName name="INCM" localSheetId="51">'[5]Financial Estimates'!$E$293:$J$339</definedName>
    <definedName name="INCM">'[5]Financial Estimates'!$E$293:$J$339</definedName>
    <definedName name="Income">[80]ARR_MYT!$AR$1:$AR$2</definedName>
    <definedName name="INDE">#N/A</definedName>
    <definedName name="Inflation">#REF!</definedName>
    <definedName name="Inland2" localSheetId="51">#REF!</definedName>
    <definedName name="Inland2">#REF!</definedName>
    <definedName name="interest_and_finance_charges_bs" localSheetId="51">#REF!</definedName>
    <definedName name="interest_and_finance_charges_bs">#REF!</definedName>
    <definedName name="interest_finance_charges_schedule" localSheetId="51">#REF!</definedName>
    <definedName name="interest_finance_charges_schedule">#REF!</definedName>
    <definedName name="INTERFACE_FORMAT_VERSION" localSheetId="51">#REF!</definedName>
    <definedName name="INTERFACE_FORMAT_VERSION">#REF!</definedName>
    <definedName name="INTERFACE_NAME" localSheetId="51">#REF!</definedName>
    <definedName name="INTERFACE_NAME">#REF!</definedName>
    <definedName name="IntFreeCred" localSheetId="51">#REF!</definedName>
    <definedName name="IntFreeCred">#REF!</definedName>
    <definedName name="IntRate_11">[68]Assumptions!$B$11</definedName>
    <definedName name="IntRate_12">[68]Assumptions!$B$12</definedName>
    <definedName name="IntRate_WC" localSheetId="51">[51]Assumptions!$B$16</definedName>
    <definedName name="IntRate_WC">[51]Assumptions!$B$16</definedName>
    <definedName name="IntRate_WC10">[68]Assumptions!$B$16</definedName>
    <definedName name="IntRate_WC11">[68]Assumptions!$B$17</definedName>
    <definedName name="IntRate_WC12">[68]Assumptions!$B$18</definedName>
    <definedName name="IntRate12" localSheetId="52">#REF!</definedName>
    <definedName name="IntRate12" localSheetId="51">#REF!</definedName>
    <definedName name="IntRate12" localSheetId="1">#REF!</definedName>
    <definedName name="IntRate12">#REF!</definedName>
    <definedName name="IntRate13" localSheetId="51">#REF!</definedName>
    <definedName name="IntRate13">#REF!</definedName>
    <definedName name="IntRateWC11" localSheetId="51">#REF!</definedName>
    <definedName name="IntRateWC11">#REF!</definedName>
    <definedName name="IntRateWC12" localSheetId="51">#REF!</definedName>
    <definedName name="IntRateWC12">#REF!</definedName>
    <definedName name="IntRateWC13" localSheetId="51">#REF!</definedName>
    <definedName name="IntRateWC13">#REF!</definedName>
    <definedName name="Intt_Charge_cY" localSheetId="51">#REF!,#REF!</definedName>
    <definedName name="Intt_Charge_cY">#REF!,#REF!</definedName>
    <definedName name="Intt_Charge_cy_1" localSheetId="51">'[81]A 3.7'!$H$35,'[81]A 3.7'!$H$44</definedName>
    <definedName name="Intt_Charge_cy_1">'[82]A 3.7'!$H$35,'[82]A 3.7'!$H$44</definedName>
    <definedName name="Intt_Charge_eY" localSheetId="51">#REF!,#REF!</definedName>
    <definedName name="Intt_Charge_eY">#REF!,#REF!</definedName>
    <definedName name="Intt_Charge_ey_1" localSheetId="51">'[81]A 3.7'!$I$35,'[81]A 3.7'!$I$44</definedName>
    <definedName name="Intt_Charge_ey_1">'[82]A 3.7'!$I$35,'[82]A 3.7'!$I$44</definedName>
    <definedName name="Intt_Charge_PY" localSheetId="51">#REF!,#REF!</definedName>
    <definedName name="Intt_Charge_PY">#REF!,#REF!</definedName>
    <definedName name="Intt_Charge_py_1" localSheetId="51">'[81]A 3.7'!$G$35,'[81]A 3.7'!$G$44</definedName>
    <definedName name="Intt_Charge_py_1">'[82]A 3.7'!$G$35,'[82]A 3.7'!$G$44</definedName>
    <definedName name="iop" localSheetId="52" hidden="1">{"'Sheet1'!$L$16"}</definedName>
    <definedName name="iop" localSheetId="51" hidden="1">{"'Sheet1'!$L$16"}</definedName>
    <definedName name="iop" localSheetId="1" hidden="1">{"'Sheet1'!$L$16"}</definedName>
    <definedName name="iop" hidden="1">{"'Sheet1'!$L$16"}</definedName>
    <definedName name="IPT" localSheetId="51">#REF!</definedName>
    <definedName name="IPT">#REF!</definedName>
    <definedName name="IRANFARS_최종_3차분" localSheetId="51">#REF!</definedName>
    <definedName name="IRANFARS_최종_3차분">#REF!</definedName>
    <definedName name="IRANFARS2차분_REV_" localSheetId="51">#REF!</definedName>
    <definedName name="IRANFARS2차분_REV_">#REF!</definedName>
    <definedName name="is" localSheetId="52" hidden="1">{"'Sheet1'!$L$16"}</definedName>
    <definedName name="is" localSheetId="51" hidden="1">{"'Sheet1'!$L$16"}</definedName>
    <definedName name="is" localSheetId="1" hidden="1">{"'Sheet1'!$L$16"}</definedName>
    <definedName name="is" hidden="1">{"'Sheet1'!$L$16"}</definedName>
    <definedName name="IsCircular" localSheetId="51">#REF!</definedName>
    <definedName name="IsCircular">#REF!</definedName>
    <definedName name="ISODWG">#N/A</definedName>
    <definedName name="it" localSheetId="52" hidden="1">{"'Sheet1'!$L$16"}</definedName>
    <definedName name="it" localSheetId="51" hidden="1">{"'Sheet1'!$L$16"}</definedName>
    <definedName name="it" localSheetId="1" hidden="1">{"'Sheet1'!$L$16"}</definedName>
    <definedName name="it" hidden="1">{"'Sheet1'!$L$16"}</definedName>
    <definedName name="ITEM">#N/A</definedName>
    <definedName name="ITEM_CODE" localSheetId="51">'[50]ITEM-LIST'!#REF!</definedName>
    <definedName name="ITEM_CODE">'[50]ITEM-LIST'!#REF!</definedName>
    <definedName name="ITEM_NAME">#N/A</definedName>
    <definedName name="ITNO">#N/A</definedName>
    <definedName name="iv2dt" hidden="1">'[30]Eq. Mobilization'!#REF!</definedName>
    <definedName name="ivdt" hidden="1">'[30]Eq. Mobilization'!#REF!</definedName>
    <definedName name="J" localSheetId="51">#REF!</definedName>
    <definedName name="J">#REF!</definedName>
    <definedName name="J_CODE">#N/A</definedName>
    <definedName name="J_DATE">#N/A</definedName>
    <definedName name="J_DEL">#N/A</definedName>
    <definedName name="J_DESC">#N/A</definedName>
    <definedName name="J_NAME">#N/A</definedName>
    <definedName name="J_P_MH">#N/A</definedName>
    <definedName name="J_PROG">#N/A</definedName>
    <definedName name="J_REMAINMH">#N/A</definedName>
    <definedName name="J_TEL" localSheetId="51">'[50]ITEM-LIST'!#REF!</definedName>
    <definedName name="J_TEL">'[50]ITEM-LIST'!#REF!</definedName>
    <definedName name="JE">#N/A</definedName>
    <definedName name="JEJAK">#N/A</definedName>
    <definedName name="jfgf">[18]BEST_17112006!$A$206</definedName>
    <definedName name="JJ">'[74]MOB-MAN1'!$D$40:$BW$49</definedName>
    <definedName name="JJJ" localSheetId="51" hidden="1">[83]DJ1!#REF!</definedName>
    <definedName name="JJJ" hidden="1">[83]DJ1!#REF!</definedName>
    <definedName name="jjkjklj" localSheetId="52">#REF!,#REF!</definedName>
    <definedName name="jjkjklj" localSheetId="51">#REF!,#REF!</definedName>
    <definedName name="jjkjklj" localSheetId="1">#REF!,#REF!</definedName>
    <definedName name="jjkjklj">#REF!,#REF!</definedName>
    <definedName name="jjskjsklj" localSheetId="51">#REF!</definedName>
    <definedName name="jjskjsklj">#REF!</definedName>
    <definedName name="jsjssij" localSheetId="51">#REF!</definedName>
    <definedName name="jsjssij">#REF!</definedName>
    <definedName name="JU" localSheetId="51">'[54]해외 기술훈련비 (합계)'!#REF!</definedName>
    <definedName name="JU">'[54]해외 기술훈련비 (합계)'!#REF!</definedName>
    <definedName name="JV10Group_944" localSheetId="52">#REF!</definedName>
    <definedName name="JV10Group_944" localSheetId="1">#REF!</definedName>
    <definedName name="JV10Group_944">#REF!</definedName>
    <definedName name="JV14Group_944" localSheetId="52">#REF!</definedName>
    <definedName name="JV14Group_944" localSheetId="1">#REF!</definedName>
    <definedName name="JV14Group_944">#REF!</definedName>
    <definedName name="K">[44]현장지지물물량!$A$8:$N$196</definedName>
    <definedName name="K2000_">#N/A</definedName>
    <definedName name="KABOLINE" localSheetId="51" hidden="1">'[30]Eq. Mobilization'!#REF!</definedName>
    <definedName name="KABOLINE" hidden="1">'[30]Eq. Mobilization'!#REF!</definedName>
    <definedName name="KEII">'[42]Executive Summary -Thermal'!$H$4:$I$31</definedName>
    <definedName name="KEIIU" localSheetId="51">'[36]Executive Summary -Thermal'!$A$4:$F$31</definedName>
    <definedName name="KEIIU">'[42]Executive Summary -Thermal'!$A$4:$F$31</definedName>
    <definedName name="ket" localSheetId="51">[4]소화실적!#REF!</definedName>
    <definedName name="ket">[4]소화실적!#REF!</definedName>
    <definedName name="Keta" localSheetId="51">#REF!</definedName>
    <definedName name="Keta">#REF!</definedName>
    <definedName name="Ketan" localSheetId="51">#REF!</definedName>
    <definedName name="Ketan">#REF!</definedName>
    <definedName name="KG" localSheetId="51">'[84]P-LIST'!#REF!</definedName>
    <definedName name="KG">'[84]P-LIST'!#REF!</definedName>
    <definedName name="KI">'[54]해외 연수비용 계산-삭제'!#REF!</definedName>
    <definedName name="kil" localSheetId="52">#REF!</definedName>
    <definedName name="kil" localSheetId="1">#REF!</definedName>
    <definedName name="kil">#REF!</definedName>
    <definedName name="kishor" localSheetId="52">#REF!</definedName>
    <definedName name="kishor" localSheetId="51">#REF!</definedName>
    <definedName name="kishor" localSheetId="1">#REF!</definedName>
    <definedName name="kishor">#REF!</definedName>
    <definedName name="KISS" localSheetId="52">'[19]해외 기술훈련비 (합계)'!#REF!</definedName>
    <definedName name="KISS" localSheetId="51">'[19]해외 기술훈련비 (합계)'!#REF!</definedName>
    <definedName name="KISS" localSheetId="1">'[19]해외 기술훈련비 (합계)'!#REF!</definedName>
    <definedName name="KISS">'[19]해외 기술훈련비 (합계)'!#REF!</definedName>
    <definedName name="KK" localSheetId="51">[44]현장지지물물량!$1:$7</definedName>
    <definedName name="KK">[44]현장지지물물량!$A$1:$IV$7</definedName>
    <definedName name="kkfkfkfk" localSheetId="52">#REF!</definedName>
    <definedName name="kkfkfkfk" localSheetId="1">#REF!</definedName>
    <definedName name="kkfkfkfk">#REF!</definedName>
    <definedName name="kkJJ" localSheetId="52">#REF!</definedName>
    <definedName name="kkJJ" localSheetId="51">#REF!</definedName>
    <definedName name="kkJJ" localSheetId="1">#REF!</definedName>
    <definedName name="kkJJ">#REF!</definedName>
    <definedName name="KKK" localSheetId="52" hidden="1">[83]DJ1!#REF!</definedName>
    <definedName name="KKK" localSheetId="51" hidden="1">[83]DJ1!#REF!</definedName>
    <definedName name="KKK" localSheetId="1" hidden="1">[83]DJ1!#REF!</definedName>
    <definedName name="KKK" hidden="1">[83]DJ1!#REF!</definedName>
    <definedName name="kkkk" localSheetId="52">#REF!</definedName>
    <definedName name="kkkk" localSheetId="1">#REF!</definedName>
    <definedName name="kkkk">#REF!</definedName>
    <definedName name="kkkkkkk" localSheetId="52">#REF!</definedName>
    <definedName name="kkkkkkk" localSheetId="1">#REF!</definedName>
    <definedName name="kkkkkkk">#REF!</definedName>
    <definedName name="KL" localSheetId="52">'[54]해외 연수비용 계산-삭제'!#REF!</definedName>
    <definedName name="KL" localSheetId="1">'[54]해외 연수비용 계산-삭제'!#REF!</definedName>
    <definedName name="KL">'[54]해외 연수비용 계산-삭제'!#REF!</definedName>
    <definedName name="ksokskosk" localSheetId="52">#REF!</definedName>
    <definedName name="ksokskosk" localSheetId="51">#REF!</definedName>
    <definedName name="ksokskosk" localSheetId="1">#REF!</definedName>
    <definedName name="ksokskosk">#REF!</definedName>
    <definedName name="L" localSheetId="51">#REF!</definedName>
    <definedName name="L">#REF!</definedName>
    <definedName name="Lacs">100000</definedName>
    <definedName name="Landing_Cost" localSheetId="51">#REF!</definedName>
    <definedName name="Landing_Cost">#REF!</definedName>
    <definedName name="LANGUAGE_VERSION" localSheetId="51">#REF!</definedName>
    <definedName name="LANGUAGE_VERSION">#REF!</definedName>
    <definedName name="LC" localSheetId="51">#REF!</definedName>
    <definedName name="LC">#REF!</definedName>
    <definedName name="LE">#N/A</definedName>
    <definedName name="LEVEL">#REF!</definedName>
    <definedName name="LJ" localSheetId="51">'[54]해외 기술훈련비 (합계)'!#REF!</definedName>
    <definedName name="LJ">'[54]해외 기술훈련비 (합계)'!#REF!</definedName>
    <definedName name="llJkljl" localSheetId="52">#REF!</definedName>
    <definedName name="llJkljl" localSheetId="51">#REF!</definedName>
    <definedName name="llJkljl" localSheetId="1">#REF!</definedName>
    <definedName name="llJkljl">#REF!</definedName>
    <definedName name="LLL" localSheetId="52" hidden="1">[83]DJ1!#REF!</definedName>
    <definedName name="LLL" localSheetId="51" hidden="1">[83]DJ1!#REF!</definedName>
    <definedName name="LLL" localSheetId="1" hidden="1">[83]DJ1!#REF!</definedName>
    <definedName name="LLL" hidden="1">[83]DJ1!#REF!</definedName>
    <definedName name="llll" localSheetId="52">#REF!</definedName>
    <definedName name="llll" localSheetId="1">#REF!</definedName>
    <definedName name="llll">#REF!</definedName>
    <definedName name="LO" localSheetId="52">'[54]해외 연수비용 계산-삭제'!#REF!</definedName>
    <definedName name="LO" localSheetId="51">'[54]해외 연수비용 계산-삭제'!#REF!</definedName>
    <definedName name="LO" localSheetId="1">'[54]해외 연수비용 계산-삭제'!#REF!</definedName>
    <definedName name="LO">'[54]해외 연수비용 계산-삭제'!#REF!</definedName>
    <definedName name="LOANRATE" localSheetId="51">'[19]해외 연수비용 계산-삭제'!#REF!</definedName>
    <definedName name="LOANRATE" localSheetId="1">'[19]해외 연수비용 계산-삭제'!#REF!</definedName>
    <definedName name="LOANRATE">'[19]해외 연수비용 계산-삭제'!#REF!</definedName>
    <definedName name="LOANTO">'[19]해외 연수비용 계산-삭제'!#REF!</definedName>
    <definedName name="LOOSETOOLS_ES_TA" localSheetId="52">#REF!</definedName>
    <definedName name="LOOSETOOLS_ES_TA" localSheetId="51">#REF!</definedName>
    <definedName name="LOOSETOOLS_ES_TA" localSheetId="1">#REF!</definedName>
    <definedName name="LOOSETOOLS_ES_TA">#REF!</definedName>
    <definedName name="LOOSETOOLS_ES_TD" localSheetId="51">#REF!</definedName>
    <definedName name="LOOSETOOLS_ES_TD">#REF!</definedName>
    <definedName name="ltind">#REF!</definedName>
    <definedName name="LTR_M_NEW" localSheetId="51">#REF!</definedName>
    <definedName name="LTR_M_NEW">#REF!</definedName>
    <definedName name="LTR_MOR" localSheetId="51">#REF!</definedName>
    <definedName name="LTR_MOR">#REF!</definedName>
    <definedName name="LWSALES" localSheetId="51">#REF!</definedName>
    <definedName name="LWSALES">#REF!</definedName>
    <definedName name="LYBin" localSheetId="51">#REF!</definedName>
    <definedName name="LYBin">#REF!</definedName>
    <definedName name="LYHolds" localSheetId="51">#REF!</definedName>
    <definedName name="LYHolds">#REF!</definedName>
    <definedName name="LYNet" localSheetId="51">#REF!</definedName>
    <definedName name="LYNet">#REF!</definedName>
    <definedName name="LYoos" localSheetId="51">#REF!</definedName>
    <definedName name="LYoos">#REF!</definedName>
    <definedName name="LYReselects" localSheetId="51">#REF!</definedName>
    <definedName name="LYReselects">#REF!</definedName>
    <definedName name="LYReturns" localSheetId="51">#REF!</definedName>
    <definedName name="LYReturns">#REF!</definedName>
    <definedName name="LYSales" localSheetId="51">#REF!</definedName>
    <definedName name="LYSales">#REF!</definedName>
    <definedName name="LYTotal" localSheetId="51">#REF!</definedName>
    <definedName name="LYTotal">#REF!</definedName>
    <definedName name="M" localSheetId="51">#REF!</definedName>
    <definedName name="m">#REF!</definedName>
    <definedName name="M_A_L_G_A">#N/A</definedName>
    <definedName name="M_L_N_G">#N/A</definedName>
    <definedName name="M_P_D_P">#N/A</definedName>
    <definedName name="M1_" localSheetId="51">#REF!</definedName>
    <definedName name="M1_">#REF!</definedName>
    <definedName name="M2_" localSheetId="51">#REF!</definedName>
    <definedName name="M2_">#REF!</definedName>
    <definedName name="MACHINETOOLS_ES_TA" localSheetId="51">#REF!</definedName>
    <definedName name="MACHINETOOLS_ES_TA">#REF!</definedName>
    <definedName name="MACHINETOOLS_ES_TD" localSheetId="51">#REF!</definedName>
    <definedName name="MACHINETOOLS_ES_TD">#REF!</definedName>
    <definedName name="MAKEQTY">#N/A</definedName>
    <definedName name="MAKEQTYNU">#N/A</definedName>
    <definedName name="MAKETWT">#N/A</definedName>
    <definedName name="MAKETWTNU">#N/A</definedName>
    <definedName name="MARGINPLAN" localSheetId="51">#REF!</definedName>
    <definedName name="MARGINPLAN">#REF!</definedName>
    <definedName name="MARGINPROJ" localSheetId="51">#REF!</definedName>
    <definedName name="MARGINPROJ">#REF!</definedName>
    <definedName name="MAT">#N/A</definedName>
    <definedName name="MAT_NO">#N/A</definedName>
    <definedName name="MAT_SIZE">#N/A</definedName>
    <definedName name="MATERIAL">#N/A</definedName>
    <definedName name="MATL">#N/A</definedName>
    <definedName name="MDR_BEST_BEF" localSheetId="51">#REF!</definedName>
    <definedName name="MDR_BEST_BEF">#REF!</definedName>
    <definedName name="MDR_BSES_BEF" localSheetId="51">#REF!</definedName>
    <definedName name="MDR_BSES_BEF">#REF!</definedName>
    <definedName name="MDR_HTCOMM_AFT" localSheetId="51">'[5]Financial Estimates'!$C$300</definedName>
    <definedName name="MDR_HTCOMM_AFT">'[5]Financial Estimates'!$C$300</definedName>
    <definedName name="MDR_HTCOMM_BEF" localSheetId="51">#REF!</definedName>
    <definedName name="MDR_HTCOMM_BEF">#REF!</definedName>
    <definedName name="MDR_HTIND_AFT" localSheetId="51">'[5]Financial Estimates'!$C$299</definedName>
    <definedName name="MDR_HTIND_AFT">'[5]Financial Estimates'!$C$299</definedName>
    <definedName name="MDR_HTIND_BEF" localSheetId="51">#REF!</definedName>
    <definedName name="MDR_HTIND_BEF">#REF!</definedName>
    <definedName name="MDR_LTCOMM_AFT" localSheetId="51">'[5]Financial Estimates'!$C$302</definedName>
    <definedName name="MDR_LTCOMM_AFT">'[5]Financial Estimates'!$C$302</definedName>
    <definedName name="MDR_LTCOMM_BEF" localSheetId="51">#REF!</definedName>
    <definedName name="MDR_LTCOMM_BEF">#REF!</definedName>
    <definedName name="MDR_LTIND_AFT" localSheetId="51">'[5]Financial Estimates'!$C$301</definedName>
    <definedName name="MDR_LTIND_AFT">'[5]Financial Estimates'!$C$301</definedName>
    <definedName name="MDR_LTIND_BEF" localSheetId="51">#REF!</definedName>
    <definedName name="MDR_LTIND_BEF">#REF!</definedName>
    <definedName name="MDR_RLY_AFT" localSheetId="51">'[5]Financial Estimates'!$C$303</definedName>
    <definedName name="MDR_RLY_AFT">'[5]Financial Estimates'!$C$303</definedName>
    <definedName name="MDR_RLY_BEF" localSheetId="51">#REF!</definedName>
    <definedName name="MDR_RLY_BEF">#REF!</definedName>
    <definedName name="MDR_TIR_BEF" localSheetId="51">#REF!</definedName>
    <definedName name="MDR_TIR_BEF">#REF!</definedName>
    <definedName name="MDR_TXT_AFT" localSheetId="51">'[5]Financial Estimates'!$C$298</definedName>
    <definedName name="MDR_TXT_AFT">'[5]Financial Estimates'!$C$298</definedName>
    <definedName name="MDR_TXT_BEF" localSheetId="51">#REF!</definedName>
    <definedName name="MDR_TXT_BEF">#REF!</definedName>
    <definedName name="MENU">#N/A</definedName>
    <definedName name="MEPE" localSheetId="51">'[36]Executive Summary -Thermal'!$I$4:$EG$36</definedName>
    <definedName name="MEPE">'[42]Executive Summary -Thermal'!$I$4:$EG$36</definedName>
    <definedName name="METERS_ES_TA" localSheetId="52">#REF!</definedName>
    <definedName name="METERS_ES_TA" localSheetId="51">#REF!</definedName>
    <definedName name="METERS_ES_TA" localSheetId="1">#REF!</definedName>
    <definedName name="METERS_ES_TA">#REF!</definedName>
    <definedName name="METERS_ES_TD" localSheetId="51">#REF!</definedName>
    <definedName name="METERS_ES_TD">#REF!</definedName>
    <definedName name="METHOD" localSheetId="51">'[19]해외 연수비용 계산-삭제'!#REF!</definedName>
    <definedName name="METHOD">'[19]해외 연수비용 계산-삭제'!#REF!</definedName>
    <definedName name="MID">#N/A</definedName>
    <definedName name="mill">#REF!</definedName>
    <definedName name="Millions">1000000</definedName>
    <definedName name="MIN" localSheetId="51">[85]Input_Sheet!#REF!</definedName>
    <definedName name="MIN">[85]Input_Sheet!#REF!</definedName>
    <definedName name="Miscelleneous_Expenditure" localSheetId="52">#REF!</definedName>
    <definedName name="Miscelleneous_Expenditure" localSheetId="51">#REF!</definedName>
    <definedName name="Miscelleneous_Expenditure" localSheetId="1">#REF!</definedName>
    <definedName name="Miscelleneous_Expenditure">#REF!</definedName>
    <definedName name="ML">#N/A</definedName>
    <definedName name="mmmm" localSheetId="52">#REF!</definedName>
    <definedName name="mmmm" localSheetId="1">#REF!</definedName>
    <definedName name="mmmm">#REF!</definedName>
    <definedName name="mmmmmmmmmmmm" localSheetId="1">#REF!</definedName>
    <definedName name="mmmmmmmmmmmm">#REF!</definedName>
    <definedName name="mn" localSheetId="52" hidden="1">{"'Sheet1'!$L$16"}</definedName>
    <definedName name="mn" localSheetId="51" hidden="1">{"'Sheet1'!$L$16"}</definedName>
    <definedName name="mn" localSheetId="1" hidden="1">{"'Sheet1'!$L$16"}</definedName>
    <definedName name="mn" hidden="1">{"'Sheet1'!$L$16"}</definedName>
    <definedName name="mo" localSheetId="51">#REF!</definedName>
    <definedName name="mo">#REF!</definedName>
    <definedName name="MO_DES">#N/A</definedName>
    <definedName name="MO_NO">#N/A</definedName>
    <definedName name="MOD" localSheetId="51">'[36]Executive Summary -Thermal'!$A$162:$H$257</definedName>
    <definedName name="MOD">'[42]Executive Summary -Thermal'!$A$162:$H$257</definedName>
    <definedName name="MODEL">#N/A</definedName>
    <definedName name="MODES">#N/A</definedName>
    <definedName name="MODESC">#N/A</definedName>
    <definedName name="MOITEM">#N/A</definedName>
    <definedName name="MONITORPNT" localSheetId="58">[19]!MONITORPNT</definedName>
    <definedName name="MONITORPNT" localSheetId="59">[19]!MONITORPNT</definedName>
    <definedName name="MONITORPNT">[19]!MONITORPNT</definedName>
    <definedName name="MONO">#N/A</definedName>
    <definedName name="month" localSheetId="51">#REF!</definedName>
    <definedName name="month">#REF!</definedName>
    <definedName name="MOTORVEHICLE_ES_TA" localSheetId="51">#REF!</definedName>
    <definedName name="MOTORVEHICLE_ES_TA">#REF!</definedName>
    <definedName name="MOTORVEHICLE_ES_TD" localSheetId="51">#REF!</definedName>
    <definedName name="MOTORVEHICLE_ES_TD">#REF!</definedName>
    <definedName name="mth" localSheetId="51">'[86]per unit'!#REF!</definedName>
    <definedName name="mth">'[86]per unit'!#REF!</definedName>
    <definedName name="MTL">#N/A</definedName>
    <definedName name="MTPI">#REF!</definedName>
    <definedName name="MVEHICLE_GEN_TA" localSheetId="51">#REF!</definedName>
    <definedName name="MVEHICLE_GEN_TA">#REF!</definedName>
    <definedName name="MVEHICLE_GEN_TD" localSheetId="51">#REF!</definedName>
    <definedName name="MVEHICLE_GEN_TD">#REF!</definedName>
    <definedName name="MYCAP" localSheetId="51">'[19]해외 연수비용 계산-삭제'!#REF!</definedName>
    <definedName name="MYCAP">'[19]해외 연수비용 계산-삭제'!#REF!</definedName>
    <definedName name="MYLOAN">'[19]해외 연수비용 계산-삭제'!#REF!</definedName>
    <definedName name="MYRATE">'[19]해외 연수비용 계산-삭제'!#REF!</definedName>
    <definedName name="MYTO">'[19]해외 연수비용 계산-삭제'!#REF!</definedName>
    <definedName name="N" localSheetId="52">#REF!</definedName>
    <definedName name="N" localSheetId="51">#REF!</definedName>
    <definedName name="N" localSheetId="1">#REF!</definedName>
    <definedName name="N">#REF!</definedName>
    <definedName name="NAM_1">#N/A</definedName>
    <definedName name="NATION" localSheetId="52">'[19]해외 연수비용 계산-삭제'!#REF!</definedName>
    <definedName name="NATION" localSheetId="51">'[19]해외 연수비용 계산-삭제'!#REF!</definedName>
    <definedName name="NATION" localSheetId="1">'[19]해외 연수비용 계산-삭제'!#REF!</definedName>
    <definedName name="NATION">'[19]해외 연수비용 계산-삭제'!#REF!</definedName>
    <definedName name="needle" localSheetId="52">#REF!</definedName>
    <definedName name="needle" localSheetId="51">#REF!</definedName>
    <definedName name="needle" localSheetId="1">#REF!</definedName>
    <definedName name="needle">#REF!</definedName>
    <definedName name="new" localSheetId="52" hidden="1">[87]CE!#REF!</definedName>
    <definedName name="new" localSheetId="51" hidden="1">[87]CE!#REF!</definedName>
    <definedName name="new" localSheetId="1" hidden="1">[87]CE!#REF!</definedName>
    <definedName name="new" hidden="1">[87]CE!#REF!</definedName>
    <definedName name="NG" localSheetId="52">'[54]해외 연수비용 계산-삭제'!#REF!</definedName>
    <definedName name="NG" localSheetId="1">'[54]해외 연수비용 계산-삭제'!#REF!</definedName>
    <definedName name="NG">'[54]해외 연수비용 계산-삭제'!#REF!</definedName>
    <definedName name="NIPP" localSheetId="52">#REF!</definedName>
    <definedName name="NIPP" localSheetId="51">#REF!</definedName>
    <definedName name="NIPP" localSheetId="1">#REF!</definedName>
    <definedName name="NIPP">#REF!</definedName>
    <definedName name="nis" localSheetId="51" hidden="1">#REF!</definedName>
    <definedName name="nis" hidden="1">#REF!</definedName>
    <definedName name="NN" localSheetId="51">'[1]97 사업추정(WEKI)'!#REF!</definedName>
    <definedName name="NN">'[1]97 사업추정(WEKI)'!#REF!</definedName>
    <definedName name="nnkklj" localSheetId="51">#REF!</definedName>
    <definedName name="nnkklj">#REF!</definedName>
    <definedName name="NonDom">#REF!</definedName>
    <definedName name="Note_26bs" localSheetId="51">#REF!</definedName>
    <definedName name="Note_26bs">#REF!</definedName>
    <definedName name="Note_3bs." localSheetId="51">#REF!</definedName>
    <definedName name="Note_3bs.">#REF!</definedName>
    <definedName name="Notes__11bs" localSheetId="51">#REF!</definedName>
    <definedName name="Notes__11bs">#REF!</definedName>
    <definedName name="Notes_10bs" localSheetId="51">#REF!</definedName>
    <definedName name="Notes_10bs">#REF!</definedName>
    <definedName name="Notes_12bs" localSheetId="51">#REF!</definedName>
    <definedName name="Notes_12bs">#REF!</definedName>
    <definedName name="Notes_13bs" localSheetId="51">#REF!</definedName>
    <definedName name="Notes_13bs">#REF!</definedName>
    <definedName name="Notes_14bs" localSheetId="51">#REF!</definedName>
    <definedName name="Notes_14bs">#REF!</definedName>
    <definedName name="Notes_15bs" localSheetId="51">#REF!</definedName>
    <definedName name="Notes_15bs">#REF!</definedName>
    <definedName name="Notes_16Bs" localSheetId="51">#REF!</definedName>
    <definedName name="Notes_16Bs">#REF!</definedName>
    <definedName name="Notes_17bs" localSheetId="51">#REF!</definedName>
    <definedName name="Notes_17bs">#REF!</definedName>
    <definedName name="Notes_18Bs" localSheetId="51">#REF!</definedName>
    <definedName name="Notes_18Bs">#REF!</definedName>
    <definedName name="Notes_19bs" localSheetId="51">#REF!</definedName>
    <definedName name="Notes_19bs">#REF!</definedName>
    <definedName name="Notes_20bs" localSheetId="51">#REF!</definedName>
    <definedName name="Notes_20bs">#REF!</definedName>
    <definedName name="Notes_21bs" localSheetId="51">#REF!</definedName>
    <definedName name="Notes_21bs">#REF!</definedName>
    <definedName name="Notes_22bs" localSheetId="51">#REF!</definedName>
    <definedName name="Notes_22bs">#REF!</definedName>
    <definedName name="Notes_23bs" localSheetId="51">#REF!</definedName>
    <definedName name="Notes_23bs">#REF!</definedName>
    <definedName name="Notes_24bs" localSheetId="51">#REF!</definedName>
    <definedName name="Notes_24bs">#REF!</definedName>
    <definedName name="Notes_25Bs" localSheetId="51">#REF!</definedName>
    <definedName name="Notes_25Bs">#REF!</definedName>
    <definedName name="notes_2bs." localSheetId="51">#REF!</definedName>
    <definedName name="notes_2bs.">#REF!</definedName>
    <definedName name="Notes_3bs" localSheetId="51">#REF!</definedName>
    <definedName name="Notes_3bs">#REF!</definedName>
    <definedName name="Notes_4bs" localSheetId="51">#REF!</definedName>
    <definedName name="Notes_4bs">#REF!</definedName>
    <definedName name="Notes_5bs" localSheetId="51">#REF!</definedName>
    <definedName name="Notes_5bs">#REF!</definedName>
    <definedName name="Notes_6bs" localSheetId="51">#REF!</definedName>
    <definedName name="Notes_6bs">#REF!</definedName>
    <definedName name="Notes_7bs" localSheetId="51">#REF!</definedName>
    <definedName name="Notes_7bs">#REF!</definedName>
    <definedName name="Notes_8bs" localSheetId="51">#REF!</definedName>
    <definedName name="Notes_8bs">#REF!</definedName>
    <definedName name="Notes_9bs" localSheetId="51">#REF!</definedName>
    <definedName name="Notes_9bs">#REF!</definedName>
    <definedName name="Notes2.bs" localSheetId="51">#REF!</definedName>
    <definedName name="Notes2.bs">#REF!</definedName>
    <definedName name="NrLossesPercentage">[88]PsDataEntry!$B$80</definedName>
    <definedName name="nwjehfi">'[18]B_S Group'!$H$103</definedName>
    <definedName name="O" localSheetId="52">#REF!</definedName>
    <definedName name="O" localSheetId="51">#REF!</definedName>
    <definedName name="O" localSheetId="1">#REF!</definedName>
    <definedName name="O">#REF!</definedName>
    <definedName name="O_SCOPE_DATA" localSheetId="51">#REF!</definedName>
    <definedName name="O_SCOPE_DATA">#REF!</definedName>
    <definedName name="OFFICE.EQUIP_ES_TA" localSheetId="51">#REF!</definedName>
    <definedName name="OFFICE.EQUIP_ES_TA">#REF!</definedName>
    <definedName name="OFFICE.EQUIP_ES_TD" localSheetId="51">#REF!</definedName>
    <definedName name="OFFICE.EQUIP_ES_TD">#REF!</definedName>
    <definedName name="OLE_LINK1">#REF!</definedName>
    <definedName name="Olklkk" localSheetId="51">#REF!</definedName>
    <definedName name="Olklkk">#REF!</definedName>
    <definedName name="opg">#REF!</definedName>
    <definedName name="opi">#REF!</definedName>
    <definedName name="opz">#REF!</definedName>
    <definedName name="p" localSheetId="51">#REF!</definedName>
    <definedName name="p">#REF!</definedName>
    <definedName name="P.C._ES_TA" localSheetId="51">#REF!</definedName>
    <definedName name="P.C._ES_TA">#REF!</definedName>
    <definedName name="P.C._ES_TD" localSheetId="51">#REF!</definedName>
    <definedName name="P.C._ES_TD">#REF!</definedName>
    <definedName name="P1_">#N/A</definedName>
    <definedName name="P10_">#N/A</definedName>
    <definedName name="P11_">#N/A</definedName>
    <definedName name="P12_">#N/A</definedName>
    <definedName name="P13_">#N/A</definedName>
    <definedName name="P14_">#N/A</definedName>
    <definedName name="P15_">#N/A</definedName>
    <definedName name="P16_">#N/A</definedName>
    <definedName name="P17_">#N/A</definedName>
    <definedName name="P2_">#N/A</definedName>
    <definedName name="P3_">#N/A</definedName>
    <definedName name="P4_">#N/A</definedName>
    <definedName name="P5_">#N/A</definedName>
    <definedName name="P6_">#N/A</definedName>
    <definedName name="P7_">#N/A</definedName>
    <definedName name="P8_">#N/A</definedName>
    <definedName name="P9_">#N/A</definedName>
    <definedName name="PAGE_1">NA()</definedName>
    <definedName name="PAGE1" localSheetId="51">#REF!</definedName>
    <definedName name="PAGE1">#REF!</definedName>
    <definedName name="page10" localSheetId="51">#REF!</definedName>
    <definedName name="page10">#REF!</definedName>
    <definedName name="PAGE10_6" localSheetId="51">#REF!</definedName>
    <definedName name="PAGE10_6">#REF!</definedName>
    <definedName name="PAGE11">#N/A</definedName>
    <definedName name="PAGE11_6" localSheetId="51">#REF!</definedName>
    <definedName name="PAGE11_6">#REF!</definedName>
    <definedName name="PAGE12">#N/A</definedName>
    <definedName name="PAGE12_6" localSheetId="51">#REF!</definedName>
    <definedName name="PAGE12_6">#REF!</definedName>
    <definedName name="PAGE14" localSheetId="51">#REF!</definedName>
    <definedName name="PAGE14">#REF!</definedName>
    <definedName name="PAGE15" localSheetId="51">#REF!</definedName>
    <definedName name="PAGE15">#REF!</definedName>
    <definedName name="PAGE16" localSheetId="51">#REF!</definedName>
    <definedName name="PAGE16">#REF!</definedName>
    <definedName name="PAGE17" localSheetId="51">#REF!</definedName>
    <definedName name="PAGE17">#REF!</definedName>
    <definedName name="PAGE18" localSheetId="51">#REF!</definedName>
    <definedName name="PAGE18">#REF!</definedName>
    <definedName name="PAGE19" localSheetId="51">#REF!</definedName>
    <definedName name="PAGE19">#REF!</definedName>
    <definedName name="PAGE2" localSheetId="51">#REF!</definedName>
    <definedName name="PAGE2">#REF!</definedName>
    <definedName name="PAGE2_6" localSheetId="51">#REF!</definedName>
    <definedName name="PAGE2_6">#REF!</definedName>
    <definedName name="PAGE20" localSheetId="51">#REF!</definedName>
    <definedName name="PAGE20">#REF!</definedName>
    <definedName name="PAGE21" localSheetId="51">#REF!</definedName>
    <definedName name="PAGE21">#REF!</definedName>
    <definedName name="PAGE210" localSheetId="51">#REF!</definedName>
    <definedName name="PAGE210">#REF!</definedName>
    <definedName name="PAGE22" localSheetId="51">#REF!</definedName>
    <definedName name="PAGE22">#REF!</definedName>
    <definedName name="PAGE23" localSheetId="51">#REF!</definedName>
    <definedName name="PAGE23">#REF!</definedName>
    <definedName name="PAGE24" localSheetId="51">#REF!</definedName>
    <definedName name="PAGE24">#REF!</definedName>
    <definedName name="PAGE25" localSheetId="51">#REF!</definedName>
    <definedName name="PAGE25">#REF!</definedName>
    <definedName name="PAGE26" localSheetId="51">#REF!</definedName>
    <definedName name="PAGE26">#REF!</definedName>
    <definedName name="PAGE27" localSheetId="51">#REF!</definedName>
    <definedName name="PAGE27">#REF!</definedName>
    <definedName name="PAGE28" localSheetId="51">#REF!</definedName>
    <definedName name="PAGE28">#REF!</definedName>
    <definedName name="PAGE29" localSheetId="51">#REF!</definedName>
    <definedName name="PAGE29">#REF!</definedName>
    <definedName name="page3" localSheetId="51">#REF!</definedName>
    <definedName name="page3">#REF!</definedName>
    <definedName name="PAGE3_6" localSheetId="51">#REF!</definedName>
    <definedName name="PAGE3_6">#REF!</definedName>
    <definedName name="PAGE31">#N/A</definedName>
    <definedName name="PAGE32">#N/A</definedName>
    <definedName name="page34" localSheetId="51">#REF!</definedName>
    <definedName name="page34">#REF!</definedName>
    <definedName name="Page35" localSheetId="51">#REF!</definedName>
    <definedName name="Page35">#REF!</definedName>
    <definedName name="PAGE4_6" localSheetId="51">#REF!</definedName>
    <definedName name="PAGE4_6">#REF!</definedName>
    <definedName name="PAGE41">#N/A</definedName>
    <definedName name="PAGE42">#N/A</definedName>
    <definedName name="PAGE5_6" localSheetId="51">#REF!</definedName>
    <definedName name="PAGE5_6">#REF!</definedName>
    <definedName name="page50" localSheetId="51">#REF!</definedName>
    <definedName name="page50">#REF!</definedName>
    <definedName name="page51" localSheetId="51">#REF!</definedName>
    <definedName name="page51">#REF!</definedName>
    <definedName name="page52" localSheetId="51">#REF!</definedName>
    <definedName name="page52">#REF!</definedName>
    <definedName name="PAGE6" localSheetId="51">#REF!</definedName>
    <definedName name="PAGE6">#REF!</definedName>
    <definedName name="PAGE6_6" localSheetId="51">#REF!</definedName>
    <definedName name="PAGE6_6">#REF!</definedName>
    <definedName name="PAGE7" localSheetId="51">#REF!</definedName>
    <definedName name="PAGE7">#REF!</definedName>
    <definedName name="PAGE7_6" localSheetId="51">#REF!</definedName>
    <definedName name="PAGE7_6">#REF!</definedName>
    <definedName name="PAGE8" localSheetId="51">#REF!</definedName>
    <definedName name="PAGE8">#REF!</definedName>
    <definedName name="PAGE8_6U1A" localSheetId="51">#REF!</definedName>
    <definedName name="PAGE8_6U1A">#REF!</definedName>
    <definedName name="PAGE8_6U1B" localSheetId="51">#REF!</definedName>
    <definedName name="PAGE8_6U1B">#REF!</definedName>
    <definedName name="PAGE8_6U2A" localSheetId="51">#REF!</definedName>
    <definedName name="PAGE8_6U2A">#REF!</definedName>
    <definedName name="PAGE8_6U2B" localSheetId="51">#REF!</definedName>
    <definedName name="PAGE8_6U2B">#REF!</definedName>
    <definedName name="PAGE8_6U3A" localSheetId="51">#REF!</definedName>
    <definedName name="PAGE8_6U3A">#REF!</definedName>
    <definedName name="PAGE8_6U3B" localSheetId="51">#REF!</definedName>
    <definedName name="PAGE8_6U3B">#REF!</definedName>
    <definedName name="PAGE9" localSheetId="51">#REF!</definedName>
    <definedName name="PAGE9">#REF!</definedName>
    <definedName name="PAGE9_6" localSheetId="51">#REF!</definedName>
    <definedName name="PAGE9_6">#REF!</definedName>
    <definedName name="PART" localSheetId="51">'[19]해외 기술훈련비 (합계)'!#REF!</definedName>
    <definedName name="PART">'[19]해외 기술훈련비 (합계)'!#REF!</definedName>
    <definedName name="PART_NO">#N/A</definedName>
    <definedName name="PC">#N/A</definedName>
    <definedName name="PC_GEN_TA" localSheetId="51">#REF!</definedName>
    <definedName name="PC_GEN_TA">#REF!</definedName>
    <definedName name="PC_GEN_TD" localSheetId="51">#REF!</definedName>
    <definedName name="PC_GEN_TD">#REF!</definedName>
    <definedName name="PCL">#N/A</definedName>
    <definedName name="PCN" localSheetId="51">#REF!</definedName>
    <definedName name="PCN">#REF!</definedName>
    <definedName name="PCNO" localSheetId="51">#REF!</definedName>
    <definedName name="PCNO">#REF!</definedName>
    <definedName name="PCNO1" localSheetId="51">#REF!</definedName>
    <definedName name="PCNO1">#REF!</definedName>
    <definedName name="pcraig1" localSheetId="51">#REF!</definedName>
    <definedName name="pcraig1">#REF!</definedName>
    <definedName name="PIN">#N/A</definedName>
    <definedName name="PIPE" localSheetId="51">#REF!</definedName>
    <definedName name="PIPE">#REF!</definedName>
    <definedName name="PJT">#N/A</definedName>
    <definedName name="PKS" localSheetId="51">#REF!</definedName>
    <definedName name="PKS">#REF!</definedName>
    <definedName name="PLANT_GEN_TA" localSheetId="51">#REF!</definedName>
    <definedName name="PLANT_GEN_TA">#REF!</definedName>
    <definedName name="PLANT_GEN_TD" localSheetId="51">#REF!</definedName>
    <definedName name="PLANT_GEN_TD">#REF!</definedName>
    <definedName name="PLF" localSheetId="51">[89]Sheet1!$C$2</definedName>
    <definedName name="PLF">[89]Sheet1!$C$2</definedName>
    <definedName name="PLUG" localSheetId="52">#REF!</definedName>
    <definedName name="PLUG" localSheetId="51">#REF!</definedName>
    <definedName name="PLUG" localSheetId="1">#REF!</definedName>
    <definedName name="PLUG">#REF!</definedName>
    <definedName name="PONO">#N/A</definedName>
    <definedName name="Pop_Ratio" localSheetId="51">#REF!</definedName>
    <definedName name="Pop_Ratio">#REF!</definedName>
    <definedName name="pound" localSheetId="51">#REF!</definedName>
    <definedName name="pound">#REF!</definedName>
    <definedName name="PowerCut3Wire">[48]PsDataEntry!$B$168</definedName>
    <definedName name="PowerCut3Wire_H0010">[48]Data!$H$460</definedName>
    <definedName name="PowerCut4Wire">[48]PsDataEntry!$B$169</definedName>
    <definedName name="PowerCut4Wire_H0010">[48]Data!$H$461</definedName>
    <definedName name="PR">#N/A</definedName>
    <definedName name="PRDump" localSheetId="51">#REF!</definedName>
    <definedName name="PRDump">#REF!</definedName>
    <definedName name="PREF">#N/A</definedName>
    <definedName name="PREV_NO1" localSheetId="51">'[50]ITEM-LIST'!#REF!</definedName>
    <definedName name="PREV_NO1">'[50]ITEM-LIST'!#REF!</definedName>
    <definedName name="PREV_NO10" localSheetId="51">'[50]ITEM-LIST'!#REF!</definedName>
    <definedName name="PREV_NO10">'[50]ITEM-LIST'!#REF!</definedName>
    <definedName name="PREV_NO11" localSheetId="51">'[50]ITEM-LIST'!#REF!</definedName>
    <definedName name="PREV_NO11">'[50]ITEM-LIST'!#REF!</definedName>
    <definedName name="PREV_NO12" localSheetId="51">'[50]ITEM-LIST'!#REF!</definedName>
    <definedName name="PREV_NO12">'[50]ITEM-LIST'!#REF!</definedName>
    <definedName name="PREV_NO13" localSheetId="51">'[50]ITEM-LIST'!#REF!</definedName>
    <definedName name="PREV_NO13">'[50]ITEM-LIST'!#REF!</definedName>
    <definedName name="PREV_NO14" localSheetId="51">'[50]ITEM-LIST'!#REF!</definedName>
    <definedName name="PREV_NO14">'[50]ITEM-LIST'!#REF!</definedName>
    <definedName name="PREV_NO15" localSheetId="51">'[50]ITEM-LIST'!#REF!</definedName>
    <definedName name="PREV_NO15">'[50]ITEM-LIST'!#REF!</definedName>
    <definedName name="PREV_NO2" localSheetId="51">'[50]ITEM-LIST'!#REF!</definedName>
    <definedName name="PREV_NO2">'[50]ITEM-LIST'!#REF!</definedName>
    <definedName name="PREV_NO3" localSheetId="51">'[50]ITEM-LIST'!#REF!</definedName>
    <definedName name="PREV_NO3">'[50]ITEM-LIST'!#REF!</definedName>
    <definedName name="PREV_NO4" localSheetId="51">'[50]ITEM-LIST'!#REF!</definedName>
    <definedName name="PREV_NO4">'[50]ITEM-LIST'!#REF!</definedName>
    <definedName name="PREV_NO5" localSheetId="51">'[50]ITEM-LIST'!#REF!</definedName>
    <definedName name="PREV_NO5">'[50]ITEM-LIST'!#REF!</definedName>
    <definedName name="PREV_NO6" localSheetId="51">'[50]ITEM-LIST'!#REF!</definedName>
    <definedName name="PREV_NO6">'[50]ITEM-LIST'!#REF!</definedName>
    <definedName name="PREV_NO7" localSheetId="51">'[50]ITEM-LIST'!#REF!</definedName>
    <definedName name="PREV_NO7">'[50]ITEM-LIST'!#REF!</definedName>
    <definedName name="PREV_NO8" localSheetId="51">'[50]ITEM-LIST'!#REF!</definedName>
    <definedName name="PREV_NO8">'[50]ITEM-LIST'!#REF!</definedName>
    <definedName name="PREV_NO9" localSheetId="51">'[50]ITEM-LIST'!#REF!</definedName>
    <definedName name="PREV_NO9">'[50]ITEM-LIST'!#REF!</definedName>
    <definedName name="PRF_1" localSheetId="52">#REF!</definedName>
    <definedName name="PRF_1" localSheetId="51">#REF!</definedName>
    <definedName name="PRF_1" localSheetId="1">#REF!</definedName>
    <definedName name="PRF_1">#REF!</definedName>
    <definedName name="PRF_2_P1" localSheetId="51">#REF!</definedName>
    <definedName name="PRF_2_P1">#REF!</definedName>
    <definedName name="PRF_2_P2" localSheetId="51">#REF!</definedName>
    <definedName name="PRF_2_P2">#REF!</definedName>
    <definedName name="PRF_3_AN1" localSheetId="51">#REF!</definedName>
    <definedName name="PRF_3_AN1">#REF!</definedName>
    <definedName name="PRF_3_AN2" localSheetId="51">#REF!</definedName>
    <definedName name="PRF_3_AN2">#REF!</definedName>
    <definedName name="PRF_3_AN3" localSheetId="51">#REF!</definedName>
    <definedName name="PRF_3_AN3">#REF!</definedName>
    <definedName name="Print">#REF!</definedName>
    <definedName name="_xlnm.Print_Area" localSheetId="52">#REF!</definedName>
    <definedName name="_xlnm.Print_Area" localSheetId="7">'Carrying Cost'!$A$1:$D$24</definedName>
    <definedName name="_xlnm.Print_Area" localSheetId="51">#REF!</definedName>
    <definedName name="_xlnm.Print_Area" localSheetId="6">'F1'!$A$1:$N$50</definedName>
    <definedName name="_xlnm.Print_Area" localSheetId="31">'F11'!$A$1:$J$69</definedName>
    <definedName name="_xlnm.Print_Area" localSheetId="32">'F12'!$A$1:$H$16</definedName>
    <definedName name="_xlnm.Print_Area" localSheetId="33">'F13'!$A$1:$L$32</definedName>
    <definedName name="_xlnm.Print_Area" localSheetId="36">'F14-1'!$A$1:$L$44</definedName>
    <definedName name="_xlnm.Print_Area" localSheetId="37">'F14-2'!$A$1:$H$14</definedName>
    <definedName name="_xlnm.Print_Area" localSheetId="38">'F14-3'!$A$1:$H$32</definedName>
    <definedName name="_xlnm.Print_Area" localSheetId="39">'F14-4'!$A$1:$H$19</definedName>
    <definedName name="_xlnm.Print_Area" localSheetId="40">'F15'!$A$1:$I$37</definedName>
    <definedName name="_xlnm.Print_Area" localSheetId="41">'F16'!$A$1:$L$60</definedName>
    <definedName name="_xlnm.Print_Area" localSheetId="43">'F18'!$A$1:$K$31</definedName>
    <definedName name="_xlnm.Print_Area" localSheetId="44">'F19'!$A$1:$K$15</definedName>
    <definedName name="_xlnm.Print_Area" localSheetId="45">'F20'!$A$1:$G$20</definedName>
    <definedName name="_xlnm.Print_Area" localSheetId="46">'F21'!$A$1:$K$18</definedName>
    <definedName name="_xlnm.Print_Area" localSheetId="47">'F22'!$A$1:$D$35</definedName>
    <definedName name="_xlnm.Print_Area" localSheetId="48">'F23'!$A$1:$E$40</definedName>
    <definedName name="_xlnm.Print_Area" localSheetId="49">'F24'!$A$1:$K$19</definedName>
    <definedName name="_xlnm.Print_Area" localSheetId="10">'F4'!$A$1:$J$40</definedName>
    <definedName name="_xlnm.Print_Area" localSheetId="11">'F5-1'!$A$1:$K$493</definedName>
    <definedName name="_xlnm.Print_Area" localSheetId="12">'F5-2'!$A$1:$R$30</definedName>
    <definedName name="_xlnm.Print_Area" localSheetId="13">'F5-3'!$A$1:$M$40</definedName>
    <definedName name="_xlnm.Print_Area" localSheetId="14">'F5-4'!$A$1:$G$37</definedName>
    <definedName name="_xlnm.Print_Area" localSheetId="15">'F5-6'!$B$1:$K$150</definedName>
    <definedName name="_xlnm.Print_Area" localSheetId="17">'F5-8'!$A$1:$L$18</definedName>
    <definedName name="_xlnm.Print_Area" localSheetId="18">'F5-9'!$A$1:$K$28</definedName>
    <definedName name="_xlnm.Print_Area" localSheetId="19">'F6'!$A$1:$I$32</definedName>
    <definedName name="_xlnm.Print_Area" localSheetId="21">'F7-2'!$A$1:$J$64</definedName>
    <definedName name="_xlnm.Print_Area" localSheetId="22">'F7-3'!$A$1:$V$23</definedName>
    <definedName name="_xlnm.Print_Area" localSheetId="24">'F8'!$A$1:$M$28</definedName>
    <definedName name="_xlnm.Print_Area" localSheetId="27">'F9-1'!$A$1:$I$60</definedName>
    <definedName name="_xlnm.Print_Area" localSheetId="28">'F9-2'!$A$1:$N$22</definedName>
    <definedName name="_xlnm.Print_Area" localSheetId="29">'F9-3'!$A$1:$E$18</definedName>
    <definedName name="_xlnm.Print_Area" localSheetId="50">Incentive!$A$1:$E$33</definedName>
    <definedName name="_xlnm.Print_Area" localSheetId="25">Interest!$A$1:$K$22</definedName>
    <definedName name="_xlnm.Print_Area" localSheetId="35">'O&amp;M norms'!$A$1:$M$42</definedName>
    <definedName name="_xlnm.Print_Area" localSheetId="53">'P1'!$A$1:$G$41</definedName>
    <definedName name="_xlnm.Print_Area" localSheetId="67">'P10'!$A$1:$G$32</definedName>
    <definedName name="_xlnm.Print_Area" localSheetId="69">'P12'!$A$1:$G$31</definedName>
    <definedName name="_xlnm.Print_Area" localSheetId="60">'P3'!$A$1:$G$20</definedName>
    <definedName name="_xlnm.Print_Area" localSheetId="61">'P4'!$A$1:$K$17</definedName>
    <definedName name="_xlnm.Print_Area" localSheetId="63">'P6'!$A$1:$G$16</definedName>
    <definedName name="_xlnm.Print_Area" localSheetId="64">'P7'!$A$1:$P$15</definedName>
    <definedName name="_xlnm.Print_Area" localSheetId="66">'P9'!$A$1:$J$22</definedName>
    <definedName name="_xlnm.Print_Area" localSheetId="34">'Sharing of Gains-Losses'!$A$1:$G$37</definedName>
    <definedName name="_xlnm.Print_Area" localSheetId="1">Sheet!$A$1:$K$13</definedName>
    <definedName name="_xlnm.Print_Area">#REF!</definedName>
    <definedName name="PRINT_AREA_MI" localSheetId="52">#REF!</definedName>
    <definedName name="PRINT_AREA_MI" localSheetId="51">#REF!</definedName>
    <definedName name="PRINT_AREA_MI" localSheetId="1">#REF!</definedName>
    <definedName name="PRINT_AREA_MI">#REF!</definedName>
    <definedName name="PRINT_AREA_MI1" localSheetId="51">#REF!</definedName>
    <definedName name="PRINT_AREA_MI1">#REF!</definedName>
    <definedName name="PRINT_AREA_MII" localSheetId="51">#REF!</definedName>
    <definedName name="PRINT_AREA_MII">#REF!</definedName>
    <definedName name="Print_Area1" localSheetId="51">#REF!</definedName>
    <definedName name="Print_Area1">#REF!</definedName>
    <definedName name="Print_title" localSheetId="51">#REF!</definedName>
    <definedName name="Print_title">#REF!</definedName>
    <definedName name="_xlnm.Print_Titles" localSheetId="52">#REF!</definedName>
    <definedName name="_xlnm.Print_Titles" localSheetId="51">#REF!</definedName>
    <definedName name="_xlnm.Print_Titles" localSheetId="54">'P2A '!$5:$7</definedName>
    <definedName name="_xlnm.Print_Titles">#REF!</definedName>
    <definedName name="PRINT_TITLES_MI" localSheetId="52">#REF!</definedName>
    <definedName name="PRINT_TITLES_MI" localSheetId="51">#REF!</definedName>
    <definedName name="PRINT_TITLES_MI">#REF!</definedName>
    <definedName name="PRINT_TITLES_MI1" localSheetId="51">#REF!</definedName>
    <definedName name="PRINT_TITLES_MI1">#REF!</definedName>
    <definedName name="Print02" localSheetId="51">[90]계측!$A$1:$H$749</definedName>
    <definedName name="Print02">[90]계측!$A$1:$H$749</definedName>
    <definedName name="PROC_NO1">#N/A</definedName>
    <definedName name="PROC_NO10" localSheetId="51">'[50]ITEM-LIST'!#REF!</definedName>
    <definedName name="PROC_NO10">'[50]ITEM-LIST'!#REF!</definedName>
    <definedName name="PROC_NO11" localSheetId="51">'[50]ITEM-LIST'!#REF!</definedName>
    <definedName name="PROC_NO11">'[50]ITEM-LIST'!#REF!</definedName>
    <definedName name="PROC_NO12" localSheetId="51">'[50]ITEM-LIST'!#REF!</definedName>
    <definedName name="PROC_NO12">'[50]ITEM-LIST'!#REF!</definedName>
    <definedName name="PROC_NO13" localSheetId="51">'[50]ITEM-LIST'!#REF!</definedName>
    <definedName name="PROC_NO13">'[50]ITEM-LIST'!#REF!</definedName>
    <definedName name="PROC_NO14" localSheetId="51">'[50]ITEM-LIST'!#REF!</definedName>
    <definedName name="PROC_NO14">'[50]ITEM-LIST'!#REF!</definedName>
    <definedName name="PROC_NO15" localSheetId="51">'[50]ITEM-LIST'!#REF!</definedName>
    <definedName name="PROC_NO15">'[50]ITEM-LIST'!#REF!</definedName>
    <definedName name="PROC_NO2">#N/A</definedName>
    <definedName name="PROC_NO3">#N/A</definedName>
    <definedName name="PROC_NO4">#N/A</definedName>
    <definedName name="PROC_NO5">#N/A</definedName>
    <definedName name="PROC_NO6">#N/A</definedName>
    <definedName name="PROC_NO7">#N/A</definedName>
    <definedName name="PROC_NO8">#N/A</definedName>
    <definedName name="PROC_NO9" localSheetId="51">'[50]ITEM-LIST'!#REF!</definedName>
    <definedName name="PROC_NO9">'[50]ITEM-LIST'!#REF!</definedName>
    <definedName name="PROJECT_NAME" localSheetId="52">#REF!</definedName>
    <definedName name="PROJECT_NAME" localSheetId="51">#REF!</definedName>
    <definedName name="PROJECT_NAME" localSheetId="1">#REF!</definedName>
    <definedName name="PROJECT_NAME">#REF!</definedName>
    <definedName name="PTPI" localSheetId="52">#REF!</definedName>
    <definedName name="PTPI" localSheetId="1">#REF!</definedName>
    <definedName name="PTPI">#REF!</definedName>
    <definedName name="PURCHASE" localSheetId="52">'[5]Financial Estimates'!#REF!</definedName>
    <definedName name="PURCHASE" localSheetId="51">'[5]Financial Estimates'!#REF!</definedName>
    <definedName name="PURCHASE" localSheetId="1">'[5]Financial Estimates'!#REF!</definedName>
    <definedName name="PURCHASE">'[5]Financial Estimates'!#REF!</definedName>
    <definedName name="PURCOST" localSheetId="52">'[5]Financial Estimates'!#REF!</definedName>
    <definedName name="PURCOST" localSheetId="51">'[5]Financial Estimates'!#REF!</definedName>
    <definedName name="PURCOST" localSheetId="1">'[5]Financial Estimates'!#REF!</definedName>
    <definedName name="PURCOST">'[5]Financial Estimates'!#REF!</definedName>
    <definedName name="pw">'[91]N P C'!#REF!</definedName>
    <definedName name="q" localSheetId="51">'[92]A 3.7'!$I$35,'[92]A 3.7'!$I$44</definedName>
    <definedName name="q">'[93]A 3.7'!$I$35,'[93]A 3.7'!$I$44</definedName>
    <definedName name="qq" localSheetId="52">#REF!</definedName>
    <definedName name="qq" localSheetId="51">#REF!</definedName>
    <definedName name="qq" localSheetId="1">#REF!</definedName>
    <definedName name="qq">#REF!</definedName>
    <definedName name="QQQ" localSheetId="58">[26]!QQQ</definedName>
    <definedName name="QQQ" localSheetId="59">[26]!QQQ</definedName>
    <definedName name="QQQ">[26]!QQQ</definedName>
    <definedName name="qqqqqqq3">[18]Notes!$A$6</definedName>
    <definedName name="QTY">#N/A</definedName>
    <definedName name="qwfwf">[18]BEST_17112006!$C$30</definedName>
    <definedName name="R_">#N/A</definedName>
    <definedName name="r_adj" localSheetId="51">'[94]FAC (Running FAC)'!$B$21:$P$44</definedName>
    <definedName name="r_adj">'[94]FAC (Running FAC)'!$B$21:$P$44</definedName>
    <definedName name="R_I_Q_A_S">#N/A</definedName>
    <definedName name="r_kwh" localSheetId="51">#REF!</definedName>
    <definedName name="r_kwh">#REF!</definedName>
    <definedName name="r_met" localSheetId="51">'[95]Metered Energy'!$B$3:$N$16</definedName>
    <definedName name="r_met">'[95]Metered Energy'!$B$3:$N$16</definedName>
    <definedName name="range" localSheetId="52">#REF!</definedName>
    <definedName name="range" localSheetId="51">#REF!</definedName>
    <definedName name="range" localSheetId="1">#REF!</definedName>
    <definedName name="range">#REF!</definedName>
    <definedName name="RANGE1" localSheetId="51">#REF!</definedName>
    <definedName name="RANGE1">#REF!</definedName>
    <definedName name="Range11">#REF!</definedName>
    <definedName name="Range12">#REF!</definedName>
    <definedName name="Range13">#REF!</definedName>
    <definedName name="Range14">#REF!</definedName>
    <definedName name="RANGE2" localSheetId="51">#REF!</definedName>
    <definedName name="RANGE2">#REF!</definedName>
    <definedName name="RANGE3" localSheetId="51">#REF!</definedName>
    <definedName name="RANGE3">#REF!</definedName>
    <definedName name="RASCO__3">#N/A</definedName>
    <definedName name="RASCO__A">#N/A</definedName>
    <definedName name="RATE">#N/A</definedName>
    <definedName name="RawAgencyPrice" localSheetId="51">#REF!</definedName>
    <definedName name="RawAgencyPrice">#REF!</definedName>
    <definedName name="RBData" localSheetId="51">#REF!</definedName>
    <definedName name="RBData">#REF!</definedName>
    <definedName name="rdtgreg">[18]BEST_17112006!$A$358</definedName>
    <definedName name="RE_SIZE" localSheetId="51">#REF!</definedName>
    <definedName name="RE_SIZE">#REF!</definedName>
    <definedName name="RED" localSheetId="51">#REF!</definedName>
    <definedName name="RED">#REF!</definedName>
    <definedName name="REF_TRV">#N/A</definedName>
    <definedName name="rehigulh">'[18]B_S Group'!$H$94</definedName>
    <definedName name="REMARK">#N/A</definedName>
    <definedName name="Renu" localSheetId="51">'[96]License Area'!#REF!</definedName>
    <definedName name="Renu">'[96]License Area'!#REF!</definedName>
    <definedName name="Reselects" localSheetId="52">#REF!</definedName>
    <definedName name="Reselects" localSheetId="51">#REF!</definedName>
    <definedName name="Reselects" localSheetId="1">#REF!</definedName>
    <definedName name="Reselects">#REF!</definedName>
    <definedName name="Reserves_and_Surplus" localSheetId="51">#REF!</definedName>
    <definedName name="Reserves_and_Surplus">#REF!</definedName>
    <definedName name="REV_NO" localSheetId="51">'[50]ITEM-LIST'!#REF!</definedName>
    <definedName name="REV_NO">'[50]ITEM-LIST'!#REF!</definedName>
    <definedName name="REVENUE" localSheetId="51">'[5]Financial Estimates'!#REF!</definedName>
    <definedName name="REVENUE">'[5]Financial Estimates'!#REF!</definedName>
    <definedName name="RFP003A" localSheetId="51">#REF!</definedName>
    <definedName name="RFP003A">#REF!</definedName>
    <definedName name="RFP003B" localSheetId="51">#REF!</definedName>
    <definedName name="RFP003B">#REF!</definedName>
    <definedName name="RFP003C" localSheetId="51">#REF!</definedName>
    <definedName name="RFP003C">#REF!</definedName>
    <definedName name="RFP003D" localSheetId="51">#REF!</definedName>
    <definedName name="RFP003D">#REF!</definedName>
    <definedName name="RFP003E" localSheetId="51">#REF!</definedName>
    <definedName name="RFP003E">#REF!</definedName>
    <definedName name="RFP003F" localSheetId="51">#REF!</definedName>
    <definedName name="RFP003F">#REF!</definedName>
    <definedName name="rid" localSheetId="52" hidden="1">{"'Sheet1'!$L$16"}</definedName>
    <definedName name="rid" localSheetId="51" hidden="1">{"'Sheet1'!$L$16"}</definedName>
    <definedName name="rid" localSheetId="1" hidden="1">{"'Sheet1'!$L$16"}</definedName>
    <definedName name="rid" hidden="1">{"'Sheet1'!$L$16"}</definedName>
    <definedName name="RNO">#N/A</definedName>
    <definedName name="ROOMAC_GEN_TA" localSheetId="51">#REF!</definedName>
    <definedName name="ROOMAC_GEN_TA">#REF!</definedName>
    <definedName name="ROOMAC_GEN_TD" localSheetId="51">#REF!</definedName>
    <definedName name="ROOMAC_GEN_TD">#REF!</definedName>
    <definedName name="RR" localSheetId="51">[44]현장지지물물량!$1:$7</definedName>
    <definedName name="RR">[44]현장지지물물량!$A$1:$IV$7</definedName>
    <definedName name="RRR">[97]현장지지물물량!$A$9:$N$23</definedName>
    <definedName name="RT">#N/A</definedName>
    <definedName name="rtg5rg">[18]BEST_17112006!$A$303</definedName>
    <definedName name="RTPNT" localSheetId="58">[19]!RTPNT</definedName>
    <definedName name="RTPNT" localSheetId="59">[19]!RTPNT</definedName>
    <definedName name="RTPNT">[19]!RTPNT</definedName>
    <definedName name="RTY_선택" localSheetId="52">#REF!</definedName>
    <definedName name="RTY_선택" localSheetId="51">#REF!</definedName>
    <definedName name="RTY_선택" localSheetId="1">#REF!</definedName>
    <definedName name="RTY_선택">#REF!</definedName>
    <definedName name="RVI" localSheetId="51" hidden="1">#REF!</definedName>
    <definedName name="RVI" hidden="1">#REF!</definedName>
    <definedName name="rytyh">[18]BEST_17112006!$A$248</definedName>
    <definedName name="S" localSheetId="51">#REF!</definedName>
    <definedName name="S">#REF!</definedName>
    <definedName name="S.1.4.3" localSheetId="52" hidden="1">{"Edition",#N/A,FALSE,"Data"}</definedName>
    <definedName name="S.1.4.3" localSheetId="51" hidden="1">{"Edition",#N/A,FALSE,"Data"}</definedName>
    <definedName name="S.1.4.3" localSheetId="1" hidden="1">{"Edition",#N/A,FALSE,"Data"}</definedName>
    <definedName name="S.1.4.3" hidden="1">{"Edition",#N/A,FALSE,"Data"}</definedName>
    <definedName name="S_0" localSheetId="51">#REF!</definedName>
    <definedName name="S_0">#REF!</definedName>
    <definedName name="S_1" localSheetId="51">#REF!</definedName>
    <definedName name="S_1">#REF!</definedName>
    <definedName name="S_10" localSheetId="51">#REF!</definedName>
    <definedName name="S_10">#REF!</definedName>
    <definedName name="S_11" localSheetId="51">#REF!</definedName>
    <definedName name="S_11">#REF!</definedName>
    <definedName name="S_2" localSheetId="51">#REF!</definedName>
    <definedName name="S_2">#REF!</definedName>
    <definedName name="S_3" localSheetId="51">#REF!</definedName>
    <definedName name="S_3">#REF!</definedName>
    <definedName name="S_4" localSheetId="51">#REF!</definedName>
    <definedName name="S_4">#REF!</definedName>
    <definedName name="S_5" localSheetId="51">#REF!</definedName>
    <definedName name="S_5">#REF!</definedName>
    <definedName name="S_6" localSheetId="51">#REF!</definedName>
    <definedName name="S_6">#REF!</definedName>
    <definedName name="S_7" localSheetId="51">#REF!</definedName>
    <definedName name="S_7">#REF!</definedName>
    <definedName name="S_8" localSheetId="51">#REF!</definedName>
    <definedName name="S_8">#REF!</definedName>
    <definedName name="S_9" localSheetId="51">#REF!</definedName>
    <definedName name="S_9">#REF!</definedName>
    <definedName name="S_M_D_S">#N/A</definedName>
    <definedName name="S_No" localSheetId="51">#REF!</definedName>
    <definedName name="S_No">#REF!</definedName>
    <definedName name="S_Tp" localSheetId="51">#REF!</definedName>
    <definedName name="S_Tp">#REF!</definedName>
    <definedName name="saasawqw">[18]Notes!$A$15</definedName>
    <definedName name="sadqe">'[18]P&amp;L Group'!$A$58</definedName>
    <definedName name="SAFCASFC">[45]PsDataEntry!$B$170</definedName>
    <definedName name="sahshs" localSheetId="51">'[16]04REL'!#REF!</definedName>
    <definedName name="sahshs">'[16]04REL'!#REF!</definedName>
    <definedName name="SALES" localSheetId="51">'[5]Financial Estimates'!#REF!</definedName>
    <definedName name="SALES">'[5]Financial Estimates'!#REF!</definedName>
    <definedName name="SALESPLAN" localSheetId="51">#REF!</definedName>
    <definedName name="SALESPLAN">#REF!</definedName>
    <definedName name="SALESPROJ" localSheetId="51">#REF!</definedName>
    <definedName name="SALESPROJ">#REF!</definedName>
    <definedName name="SAN">#N/A</definedName>
    <definedName name="SAP.003.SPA224_VALVES.KFP_AABBCC_CODE_VALVES" localSheetId="51">#REF!</definedName>
    <definedName name="SAP.003.SPA224_VALVES.KFP_AABBCC_CODE_VALVES">#REF!</definedName>
    <definedName name="SAP.003.SPA224_VALVES.KFP_CASING_MATERIAL" localSheetId="51">#REF!</definedName>
    <definedName name="SAP.003.SPA224_VALVES.KFP_CASING_MATERIAL">#REF!</definedName>
    <definedName name="SAP.003.SPA224_VALVES.KFP_DESCRIPTION" localSheetId="51">#REF!</definedName>
    <definedName name="SAP.003.SPA224_VALVES.KFP_DESCRIPTION">#REF!</definedName>
    <definedName name="SAP.003.SPA224_VALVES.KFP_DESCRIPTION_NATIVE" localSheetId="51">#REF!</definedName>
    <definedName name="SAP.003.SPA224_VALVES.KFP_DESCRIPTION_NATIVE">#REF!</definedName>
    <definedName name="SAP.003.SPA224_VALVES.KFP_DIMENSION_CONNECT_INLET" localSheetId="51">#REF!</definedName>
    <definedName name="SAP.003.SPA224_VALVES.KFP_DIMENSION_CONNECT_INLET">#REF!</definedName>
    <definedName name="SAP.003.SPA224_VALVES.KFP_DIMENSION_CONNECT_OUTLET" localSheetId="51">#REF!</definedName>
    <definedName name="SAP.003.SPA224_VALVES.KFP_DIMENSION_CONNECT_OUTLET">#REF!</definedName>
    <definedName name="SAP.003.SPA224_VALVES.KFP_DRAWING_NUMBER" localSheetId="51">#REF!</definedName>
    <definedName name="SAP.003.SPA224_VALVES.KFP_DRAWING_NUMBER">#REF!</definedName>
    <definedName name="SAP.003.SPA224_VALVES.KFP_ENGINEERING_SZENARIO" localSheetId="51">#REF!</definedName>
    <definedName name="SAP.003.SPA224_VALVES.KFP_ENGINEERING_SZENARIO">#REF!</definedName>
    <definedName name="SAP.003.SPA224_VALVES.KFP_KKS" localSheetId="51">#REF!</definedName>
    <definedName name="SAP.003.SPA224_VALVES.KFP_KKS">#REF!</definedName>
    <definedName name="SAP.003.SPA224_VALVES.KFP_KWU_VALVE_TYPE_CODE_1" localSheetId="51">#REF!</definedName>
    <definedName name="SAP.003.SPA224_VALVES.KFP_KWU_VALVE_TYPE_CODE_1">#REF!</definedName>
    <definedName name="SAP.003.SPA224_VALVES.KFP_KWU_VALVE_TYPE_CODE_2" localSheetId="51">#REF!</definedName>
    <definedName name="SAP.003.SPA224_VALVES.KFP_KWU_VALVE_TYPE_CODE_2">#REF!</definedName>
    <definedName name="SAP.003.SPA224_VALVES.KFP_MANUFACTURER" localSheetId="51">#REF!</definedName>
    <definedName name="SAP.003.SPA224_VALVES.KFP_MANUFACTURER">#REF!</definedName>
    <definedName name="SAP.003.SPA224_VALVES.KFP_MANUFACTURER_TYPE" localSheetId="51">#REF!</definedName>
    <definedName name="SAP.003.SPA224_VALVES.KFP_MANUFACTURER_TYPE">#REF!</definedName>
    <definedName name="SAP.003.SPA224_VALVES.KFP_MAX_ALLOWED_WORK_PRESSURE" localSheetId="51">#REF!</definedName>
    <definedName name="SAP.003.SPA224_VALVES.KFP_MAX_ALLOWED_WORK_PRESSURE">#REF!</definedName>
    <definedName name="SAP.003.SPA224_VALVES.KFP_MAX_ALLOWED_WORK_TEMP" localSheetId="51">#REF!</definedName>
    <definedName name="SAP.003.SPA224_VALVES.KFP_MAX_ALLOWED_WORK_TEMP">#REF!</definedName>
    <definedName name="SAP.003.SPA224_VALVES.KFP_MEDIUM" localSheetId="51">#REF!</definedName>
    <definedName name="SAP.003.SPA224_VALVES.KFP_MEDIUM">#REF!</definedName>
    <definedName name="SAP.003.SPA224_VALVES.KFP_MIN_ALLOWED_WORK_PRESSURE" localSheetId="51">#REF!</definedName>
    <definedName name="SAP.003.SPA224_VALVES.KFP_MIN_ALLOWED_WORK_PRESSURE">#REF!</definedName>
    <definedName name="SAP.003.SPA224_VALVES.KFP_NOMINAL_DIAMETER" localSheetId="51">#REF!</definedName>
    <definedName name="SAP.003.SPA224_VALVES.KFP_NOMINAL_DIAMETER">#REF!</definedName>
    <definedName name="SAP.003.SPA224_VALVES.KFP_NOMINAL_PRESSURE" localSheetId="51">#REF!</definedName>
    <definedName name="SAP.003.SPA224_VALVES.KFP_NOMINAL_PRESSURE">#REF!</definedName>
    <definedName name="SAP.003.SPA224_VALVES.KFP_ORIGIN_KEY" localSheetId="51">#REF!</definedName>
    <definedName name="SAP.003.SPA224_VALVES.KFP_ORIGIN_KEY">#REF!</definedName>
    <definedName name="SAP.003.SPA224_VALVES.KFP_PIPE_MATERIAL" localSheetId="51">#REF!</definedName>
    <definedName name="SAP.003.SPA224_VALVES.KFP_PIPE_MATERIAL">#REF!</definedName>
    <definedName name="SAP.003.SPA224_VALVES.KFP_REMARK_VALVES" localSheetId="51">#REF!</definedName>
    <definedName name="SAP.003.SPA224_VALVES.KFP_REMARK_VALVES">#REF!</definedName>
    <definedName name="SAP.003.SPA224_VALVES.KFP_ROOM_NUMBER_VALVES" localSheetId="51">#REF!</definedName>
    <definedName name="SAP.003.SPA224_VALVES.KFP_ROOM_NUMBER_VALVES">#REF!</definedName>
    <definedName name="SAP.003.SPA224_VALVES.KFP_RPP_SOURCE" localSheetId="51">#REF!</definedName>
    <definedName name="SAP.003.SPA224_VALVES.KFP_RPP_SOURCE">#REF!</definedName>
    <definedName name="SAP.003.SPA224_VALVES.KFP_STATUS_INPUT_VALVES" localSheetId="51">#REF!</definedName>
    <definedName name="SAP.003.SPA224_VALVES.KFP_STATUS_INPUT_VALVES">#REF!</definedName>
    <definedName name="SAP.003.SPA224_VALVES.KFP_TYPE_OF_ACTUATION" localSheetId="51">#REF!</definedName>
    <definedName name="SAP.003.SPA224_VALVES.KFP_TYPE_OF_ACTUATION">#REF!</definedName>
    <definedName name="SAP.003.SPA224_VALVES.KFP_TYPE_OF_CONNECT_INLET" localSheetId="51">#REF!</definedName>
    <definedName name="SAP.003.SPA224_VALVES.KFP_TYPE_OF_CONNECT_INLET">#REF!</definedName>
    <definedName name="SAP.003.SPA224_VALVES.KFP_TYPE_OF_CONNECT_OUTLET" localSheetId="51">#REF!</definedName>
    <definedName name="SAP.003.SPA224_VALVES.KFP_TYPE_OF_CONNECT_OUTLET">#REF!</definedName>
    <definedName name="SAP.003.SPA224_VALVES.KFP_VALVE_LENGTH" localSheetId="51">#REF!</definedName>
    <definedName name="SAP.003.SPA224_VALVES.KFP_VALVE_LENGTH">#REF!</definedName>
    <definedName name="SAP.003.SPA224_VALVES.KFP_WEIGHT" localSheetId="51">#REF!</definedName>
    <definedName name="SAP.003.SPA224_VALVES.KFP_WEIGHT">#REF!</definedName>
    <definedName name="SBI_PLR">#REF!</definedName>
    <definedName name="SCH">#N/A</definedName>
    <definedName name="Schedule">#N/A</definedName>
    <definedName name="SCHEDULE_1" localSheetId="51">[98]BEST!#REF!</definedName>
    <definedName name="SCHEDULE_1">[98]BEST!#REF!</definedName>
    <definedName name="sCHEDULE_1_sHEET_1" localSheetId="52">#REF!</definedName>
    <definedName name="sCHEDULE_1_sHEET_1" localSheetId="51">#REF!</definedName>
    <definedName name="sCHEDULE_1_sHEET_1" localSheetId="1">#REF!</definedName>
    <definedName name="sCHEDULE_1_sHEET_1">#REF!</definedName>
    <definedName name="SCHEDULE_10" localSheetId="51">#REF!</definedName>
    <definedName name="SCHEDULE_10">#REF!</definedName>
    <definedName name="SCHEDULE_11" localSheetId="51">#REF!</definedName>
    <definedName name="SCHEDULE_11">#REF!</definedName>
    <definedName name="SCHEDULE_12" localSheetId="51">#REF!</definedName>
    <definedName name="SCHEDULE_12">#REF!</definedName>
    <definedName name="SCHEDULE_13" localSheetId="51">#REF!</definedName>
    <definedName name="SCHEDULE_13">#REF!</definedName>
    <definedName name="SCHEDULE_14" localSheetId="51">#REF!</definedName>
    <definedName name="SCHEDULE_14">#REF!</definedName>
    <definedName name="SCHEDULE_15" localSheetId="51">[98]BEST!#REF!</definedName>
    <definedName name="SCHEDULE_15">[98]BEST!#REF!</definedName>
    <definedName name="SCHEDULE_16" localSheetId="52">#REF!</definedName>
    <definedName name="SCHEDULE_16" localSheetId="51">#REF!</definedName>
    <definedName name="SCHEDULE_16" localSheetId="1">#REF!</definedName>
    <definedName name="SCHEDULE_16">#REF!</definedName>
    <definedName name="SCHEDULE_17" localSheetId="51">#REF!</definedName>
    <definedName name="SCHEDULE_17">#REF!</definedName>
    <definedName name="SCHEDULE_18" localSheetId="51">#REF!</definedName>
    <definedName name="SCHEDULE_18">#REF!</definedName>
    <definedName name="Schedule_2" localSheetId="51">#REF!</definedName>
    <definedName name="Schedule_2">#REF!</definedName>
    <definedName name="SCHEDULE_20" localSheetId="51">#REF!</definedName>
    <definedName name="SCHEDULE_20">#REF!</definedName>
    <definedName name="SCHEDULE_21" localSheetId="51">#REF!</definedName>
    <definedName name="SCHEDULE_21">#REF!</definedName>
    <definedName name="SCHEDULE_22" localSheetId="51">#REF!</definedName>
    <definedName name="SCHEDULE_22">#REF!</definedName>
    <definedName name="SCHEDULE_23" localSheetId="51">[98]BEST!#REF!</definedName>
    <definedName name="SCHEDULE_23">[98]BEST!#REF!</definedName>
    <definedName name="SCHEDULE_3" localSheetId="51">[98]BEST!#REF!</definedName>
    <definedName name="SCHEDULE_3">[98]BEST!#REF!</definedName>
    <definedName name="SCHEDULE_4" localSheetId="52">#REF!</definedName>
    <definedName name="SCHEDULE_4" localSheetId="51">#REF!</definedName>
    <definedName name="SCHEDULE_4" localSheetId="1">#REF!</definedName>
    <definedName name="SCHEDULE_4">#REF!</definedName>
    <definedName name="Schedule_4_Investment" localSheetId="51">#REF!</definedName>
    <definedName name="Schedule_4_Investment">#REF!</definedName>
    <definedName name="SCHEDULE_5" localSheetId="51">[98]BEST!#REF!</definedName>
    <definedName name="SCHEDULE_5">[98]BEST!#REF!</definedName>
    <definedName name="SCHEDULE_6" localSheetId="51">[98]BEST!#REF!</definedName>
    <definedName name="SCHEDULE_6">[98]BEST!#REF!</definedName>
    <definedName name="SCHEDULE_7" localSheetId="52">#REF!</definedName>
    <definedName name="SCHEDULE_7" localSheetId="51">#REF!</definedName>
    <definedName name="SCHEDULE_7" localSheetId="1">#REF!</definedName>
    <definedName name="SCHEDULE_7">#REF!</definedName>
    <definedName name="SCHEDULE_8" localSheetId="52">[98]BEST!#REF!</definedName>
    <definedName name="SCHEDULE_8" localSheetId="51">[98]BEST!#REF!</definedName>
    <definedName name="SCHEDULE_8" localSheetId="1">[98]BEST!#REF!</definedName>
    <definedName name="SCHEDULE_8">[98]BEST!#REF!</definedName>
    <definedName name="SCHEDULE_9" localSheetId="52">#REF!</definedName>
    <definedName name="SCHEDULE_9" localSheetId="51">#REF!</definedName>
    <definedName name="SCHEDULE_9" localSheetId="1">#REF!</definedName>
    <definedName name="SCHEDULE_9">#REF!</definedName>
    <definedName name="SCHEDULE_No." localSheetId="51">#REF!</definedName>
    <definedName name="SCHEDULE_No.">#REF!</definedName>
    <definedName name="Schedule_No2" localSheetId="51">[98]BEST!#REF!</definedName>
    <definedName name="Schedule_No2">[98]BEST!#REF!</definedName>
    <definedName name="Schedule2" localSheetId="52">#REF!</definedName>
    <definedName name="Schedule2" localSheetId="51">#REF!</definedName>
    <definedName name="Schedule2" localSheetId="1">#REF!</definedName>
    <definedName name="Schedule2">#REF!</definedName>
    <definedName name="SCOPE" localSheetId="52">'[19]해외 연수비용 계산-삭제'!#REF!</definedName>
    <definedName name="SCOPE" localSheetId="51">'[19]해외 연수비용 계산-삭제'!#REF!</definedName>
    <definedName name="SCOPE" localSheetId="1">'[19]해외 연수비용 계산-삭제'!#REF!</definedName>
    <definedName name="SCOPE">'[19]해외 연수비용 계산-삭제'!#REF!</definedName>
    <definedName name="sd" localSheetId="52" hidden="1">{"'Sheet1'!$L$16"}</definedName>
    <definedName name="sd" localSheetId="51" hidden="1">{"'Sheet1'!$L$16"}</definedName>
    <definedName name="sd" localSheetId="1" hidden="1">{"'Sheet1'!$L$16"}</definedName>
    <definedName name="sd" hidden="1">{"'Sheet1'!$L$16"}</definedName>
    <definedName name="sdd">'[18]P&amp;L Group'!$A$68</definedName>
    <definedName name="sddddddd">[18]Notes!$A$23</definedName>
    <definedName name="sdddddddd">[18]Notes!$A$51</definedName>
    <definedName name="sdfdfhf">'[18]B_S Group'!$H$251</definedName>
    <definedName name="sdfsds">[18]Notes!$A$49</definedName>
    <definedName name="sdfsfsdf">[18]Notes!$A$47</definedName>
    <definedName name="sdsfszsfzs" localSheetId="52">#REF!,#REF!</definedName>
    <definedName name="sdsfszsfzs" localSheetId="51">#REF!,#REF!</definedName>
    <definedName name="sdsfszsfzs" localSheetId="1">#REF!,#REF!</definedName>
    <definedName name="sdsfszsfzs">#REF!,#REF!</definedName>
    <definedName name="SDT">#N/A</definedName>
    <definedName name="SECOAL" localSheetId="51">#REF!</definedName>
    <definedName name="SECOAL">#REF!</definedName>
    <definedName name="See_Annexure_B.PL" localSheetId="51">#REF!</definedName>
    <definedName name="See_Annexure_B.PL">#REF!</definedName>
    <definedName name="See_Notes_1" localSheetId="51">#REF!</definedName>
    <definedName name="See_Notes_1">#REF!</definedName>
    <definedName name="Selling_Dist_Schedule" localSheetId="51">[98]BEST!#REF!</definedName>
    <definedName name="Selling_Dist_Schedule">[98]BEST!#REF!</definedName>
    <definedName name="SEOREP" localSheetId="52">#REF!</definedName>
    <definedName name="SEOREP" localSheetId="51">#REF!</definedName>
    <definedName name="SEOREP" localSheetId="1">#REF!</definedName>
    <definedName name="SEOREP">#REF!</definedName>
    <definedName name="SER">#N/A</definedName>
    <definedName name="SEREPORT" localSheetId="51">#REF!</definedName>
    <definedName name="SEREPORT">#REF!</definedName>
    <definedName name="sfgvegvb">[18]BEST_17112006!$C$15</definedName>
    <definedName name="sgggg">[18]BEST_17112006!$A$225</definedName>
    <definedName name="SHEET" localSheetId="51">#REF!</definedName>
    <definedName name="SHEET">#REF!</definedName>
    <definedName name="shft1">[70]SUMMERY!$P$1</definedName>
    <definedName name="shftI" localSheetId="51">[99]SUMMERY!$P$1</definedName>
    <definedName name="shftI">[100]SUMMERY!$P$1</definedName>
    <definedName name="shshshsh" localSheetId="52">#REF!,#REF!</definedName>
    <definedName name="shshshsh" localSheetId="51">#REF!,#REF!</definedName>
    <definedName name="shshshsh" localSheetId="1">#REF!,#REF!</definedName>
    <definedName name="shshshsh">#REF!,#REF!</definedName>
    <definedName name="siertireyi">'[18]B_S Group'!$H$83</definedName>
    <definedName name="SIMHP1" localSheetId="52">#REF!</definedName>
    <definedName name="SIMHP1" localSheetId="51">#REF!</definedName>
    <definedName name="SIMHP1" localSheetId="1">#REF!</definedName>
    <definedName name="SIMHP1">#REF!</definedName>
    <definedName name="SIMLP1" localSheetId="51">#REF!</definedName>
    <definedName name="SIMLP1">#REF!</definedName>
    <definedName name="SIZE" localSheetId="51">#REF!</definedName>
    <definedName name="SIZE">#REF!</definedName>
    <definedName name="SIZE1">#N/A</definedName>
    <definedName name="SIZEC" localSheetId="51">#REF!</definedName>
    <definedName name="SIZEC">#REF!</definedName>
    <definedName name="sjrijteodgv">'[18]B_S Group'!$H$67</definedName>
    <definedName name="SMLTOOLS" localSheetId="52">#REF!</definedName>
    <definedName name="SMLTOOLS" localSheetId="51">#REF!</definedName>
    <definedName name="SMLTOOLS" localSheetId="1">#REF!</definedName>
    <definedName name="SMLTOOLS">#REF!</definedName>
    <definedName name="sndgkhdgk">'[18]B_S Group'!$H$303</definedName>
    <definedName name="SO" localSheetId="52">#REF!</definedName>
    <definedName name="SO" localSheetId="51">#REF!</definedName>
    <definedName name="SO" localSheetId="1">#REF!</definedName>
    <definedName name="SO">#REF!</definedName>
    <definedName name="SO_CODE" localSheetId="52">'[50]ITEM-LIST'!#REF!</definedName>
    <definedName name="SO_CODE" localSheetId="51">'[50]ITEM-LIST'!#REF!</definedName>
    <definedName name="SO_CODE" localSheetId="1">'[50]ITEM-LIST'!#REF!</definedName>
    <definedName name="SO_CODE">'[50]ITEM-LIST'!#REF!</definedName>
    <definedName name="SO_NAME" localSheetId="51">'[50]ITEM-LIST'!#REF!</definedName>
    <definedName name="SO_NAME" localSheetId="1">'[50]ITEM-LIST'!#REF!</definedName>
    <definedName name="SO_NAME">'[50]ITEM-LIST'!#REF!</definedName>
    <definedName name="soch" localSheetId="52">#REF!</definedName>
    <definedName name="soch" localSheetId="1">#REF!</definedName>
    <definedName name="soch">#REF!</definedName>
    <definedName name="SOL" localSheetId="52">#REF!</definedName>
    <definedName name="SOL" localSheetId="51">#REF!</definedName>
    <definedName name="SOL" localSheetId="1">#REF!</definedName>
    <definedName name="SOL">#REF!</definedName>
    <definedName name="SONIK" localSheetId="51">#REF!</definedName>
    <definedName name="SONIK">#REF!</definedName>
    <definedName name="SPA224_VALVES_COMPARE_COL" localSheetId="51">#REF!</definedName>
    <definedName name="SPA224_VALVES_COMPARE_COL">#REF!</definedName>
    <definedName name="SPA224_VALVES_ERROR_COL" localSheetId="51">#REF!</definedName>
    <definedName name="SPA224_VALVES_ERROR_COL">#REF!</definedName>
    <definedName name="SPEC">#N/A</definedName>
    <definedName name="SS" localSheetId="51">[27]현장지지물물량!$1:$8</definedName>
    <definedName name="SS">[27]현장지지물물량!$A$1:$IV$8</definedName>
    <definedName name="ss400kvstaffnorm">'[101]Norms for employee Addition'!$L$13</definedName>
    <definedName name="sss">#N/A</definedName>
    <definedName name="sssssss" localSheetId="51">'[102]#REF'!#REF!</definedName>
    <definedName name="sssssss">'[102]#REF'!#REF!</definedName>
    <definedName name="ssssssss">#N/A</definedName>
    <definedName name="sssssssss">[18]Notes!$A$13</definedName>
    <definedName name="ssssssssss">[18]Notes!$A$53</definedName>
    <definedName name="sssssssssssss34">[18]Notes!$A$55</definedName>
    <definedName name="ST_TYPE" localSheetId="52">#REF!</definedName>
    <definedName name="ST_TYPE" localSheetId="51">#REF!</definedName>
    <definedName name="ST_TYPE" localSheetId="1">#REF!</definedName>
    <definedName name="ST_TYPE">#REF!</definedName>
    <definedName name="STATICAC_GEN_TA" localSheetId="51">#REF!</definedName>
    <definedName name="STATICAC_GEN_TA">#REF!</definedName>
    <definedName name="STATICAC_GEN_TD" localSheetId="51">#REF!</definedName>
    <definedName name="STATICAC_GEN_TD">#REF!</definedName>
    <definedName name="steam_trap" localSheetId="51">#REF!</definedName>
    <definedName name="steam_trap">#REF!</definedName>
    <definedName name="STORES" localSheetId="51">[103]BEST_17102006!#REF!</definedName>
    <definedName name="STORES">[103]BEST_17102006!#REF!</definedName>
    <definedName name="Stores_1">[103]BEST_17102006!#REF!</definedName>
    <definedName name="STORES_2">[103]BEST_17102006!#REF!</definedName>
    <definedName name="Stores_CurrentAsset" localSheetId="52">#REF!</definedName>
    <definedName name="Stores_CurrentAsset" localSheetId="51">#REF!</definedName>
    <definedName name="Stores_CurrentAsset" localSheetId="1">#REF!</definedName>
    <definedName name="Stores_CurrentAsset">#REF!</definedName>
    <definedName name="STPI" localSheetId="52">#REF!</definedName>
    <definedName name="STPI" localSheetId="1">#REF!</definedName>
    <definedName name="STPI">#REF!</definedName>
    <definedName name="sTREETLAMP_ES_TA" localSheetId="51">#REF!</definedName>
    <definedName name="sTREETLAMP_ES_TA">#REF!</definedName>
    <definedName name="STREETLAMP_ES_TD" localSheetId="51">#REF!</definedName>
    <definedName name="STREETLAMP_ES_TD">#REF!</definedName>
    <definedName name="StressTables" localSheetId="51">#REF!</definedName>
    <definedName name="StressTables">#REF!</definedName>
    <definedName name="SUFF">#N/A</definedName>
    <definedName name="Sum_No" localSheetId="51">#REF!</definedName>
    <definedName name="Sum_No">#REF!</definedName>
    <definedName name="SUMMARY" localSheetId="51">#REF!</definedName>
    <definedName name="SUMMARY">#REF!</definedName>
    <definedName name="Sup">#REF!</definedName>
    <definedName name="supno" localSheetId="51">[104]INDEX!$B:$C</definedName>
    <definedName name="supno">[104]INDEX!$B$1:$C$65536</definedName>
    <definedName name="SUPNO1" localSheetId="52">#REF!</definedName>
    <definedName name="SUPNO1" localSheetId="51">#REF!</definedName>
    <definedName name="SUPNO1" localSheetId="1">#REF!</definedName>
    <definedName name="SUPNO1">#REF!</definedName>
    <definedName name="SUPP" localSheetId="51">#REF!</definedName>
    <definedName name="SUPP">#REF!</definedName>
    <definedName name="SUPP1">[43]PP!$W$6</definedName>
    <definedName name="svsdhv">[18]BEST_17112006!$A$364</definedName>
    <definedName name="SWITCHGEAR_ES_TA" localSheetId="51">#REF!</definedName>
    <definedName name="SWITCHGEAR_ES_TA">#REF!</definedName>
    <definedName name="SWITCHGEAR_ES_TD" localSheetId="51">#REF!</definedName>
    <definedName name="SWITCHGEAR_ES_TD">#REF!</definedName>
    <definedName name="SWITCHGERA_ES_TA" localSheetId="51">#REF!</definedName>
    <definedName name="SWITCHGERA_ES_TA">#REF!</definedName>
    <definedName name="SYSTEM">#N/A</definedName>
    <definedName name="t" localSheetId="51">#REF!</definedName>
    <definedName name="t">#REF!</definedName>
    <definedName name="T_2">#N/A</definedName>
    <definedName name="T_3">#N/A</definedName>
    <definedName name="T_4">#N/A</definedName>
    <definedName name="T_COMP_DATA" localSheetId="51">#REF!</definedName>
    <definedName name="T_COMP_DATA">#REF!</definedName>
    <definedName name="T_COMP_선택" localSheetId="51">#REF!</definedName>
    <definedName name="T_COMP_선택">#REF!</definedName>
    <definedName name="T_T" localSheetId="51">[62]data!$F$720</definedName>
    <definedName name="T_T">[63]data!$F$720</definedName>
    <definedName name="T1_">#N/A</definedName>
    <definedName name="T2_">#N/A</definedName>
    <definedName name="Table" localSheetId="51">#REF!</definedName>
    <definedName name="Table">#REF!</definedName>
    <definedName name="Table1" localSheetId="51">#REF!</definedName>
    <definedName name="Table1">#REF!</definedName>
    <definedName name="TAR" localSheetId="51">#REF!</definedName>
    <definedName name="TAR">#REF!</definedName>
    <definedName name="TAXONSALE" localSheetId="51">#REF!</definedName>
    <definedName name="TAXONSALE">#REF!</definedName>
    <definedName name="TaxPaid10">[68]Assumptions!$B$22</definedName>
    <definedName name="TaxRate11">[68]Assumptions!$B$20</definedName>
    <definedName name="Taxrate12" localSheetId="52">#REF!</definedName>
    <definedName name="Taxrate12" localSheetId="51">#REF!</definedName>
    <definedName name="Taxrate12" localSheetId="1">#REF!</definedName>
    <definedName name="Taxrate12">#REF!</definedName>
    <definedName name="TEE" localSheetId="51">#REF!</definedName>
    <definedName name="TEE">#REF!</definedName>
    <definedName name="Telangana">[105]Assumption!$AE$91:$AE$95</definedName>
    <definedName name="temp_strainer" localSheetId="52">#REF!</definedName>
    <definedName name="temp_strainer" localSheetId="51">#REF!</definedName>
    <definedName name="temp_strainer" localSheetId="1">#REF!</definedName>
    <definedName name="temp_strainer">#REF!</definedName>
    <definedName name="TEMP2">#N/A</definedName>
    <definedName name="TEMP3">#N/A</definedName>
    <definedName name="TEMP8">#N/A</definedName>
    <definedName name="TEMP9">#N/A</definedName>
    <definedName name="TEST0" localSheetId="51">'[106]May 05'!$A$2:$D$84</definedName>
    <definedName name="TEST0">'[106]May 05'!$A$2:$D$84</definedName>
    <definedName name="TEST1" localSheetId="52">#REF!</definedName>
    <definedName name="TEST1" localSheetId="51">#REF!</definedName>
    <definedName name="TEST1" localSheetId="1">#REF!</definedName>
    <definedName name="TEST1">#REF!</definedName>
    <definedName name="TEST2" localSheetId="51">#REF!</definedName>
    <definedName name="TEST2">#REF!</definedName>
    <definedName name="TEST3" localSheetId="51">[107]Sheet1!#REF!</definedName>
    <definedName name="TEST3">[107]Sheet1!#REF!</definedName>
    <definedName name="TEST4">[107]Sheet1!#REF!</definedName>
    <definedName name="TESTHKEY" localSheetId="52">#REF!</definedName>
    <definedName name="TESTHKEY" localSheetId="51">#REF!</definedName>
    <definedName name="TESTHKEY" localSheetId="1">#REF!</definedName>
    <definedName name="TESTHKEY">#REF!</definedName>
    <definedName name="TESTKEYS" localSheetId="51">#REF!</definedName>
    <definedName name="TESTKEYS">#REF!</definedName>
    <definedName name="TESTVKEY" localSheetId="51">#REF!</definedName>
    <definedName name="TESTVKEY">#REF!</definedName>
    <definedName name="tgasvs">[18]BEST_17112006!$C$77</definedName>
    <definedName name="The_Netherlands" localSheetId="51">#REF!</definedName>
    <definedName name="The_Netherlands">#REF!</definedName>
    <definedName name="THK" localSheetId="51">#REF!</definedName>
    <definedName name="THK">#REF!</definedName>
    <definedName name="thou">#REF!</definedName>
    <definedName name="tidf" localSheetId="52" hidden="1">{"'Sheet1'!$L$16"}</definedName>
    <definedName name="tidf" localSheetId="51" hidden="1">{"'Sheet1'!$L$16"}</definedName>
    <definedName name="tidf" localSheetId="1" hidden="1">{"'Sheet1'!$L$16"}</definedName>
    <definedName name="tidf" hidden="1">{"'Sheet1'!$L$16"}</definedName>
    <definedName name="TMP" localSheetId="51">#REF!</definedName>
    <definedName name="TMP">#REF!</definedName>
    <definedName name="TOL" localSheetId="51">#REF!</definedName>
    <definedName name="TOL">#REF!</definedName>
    <definedName name="TON">#N/A</definedName>
    <definedName name="TOOL_GEN_TA" localSheetId="51">#REF!</definedName>
    <definedName name="TOOL_GEN_TA">#REF!</definedName>
    <definedName name="TOOL_GEN_TD" localSheetId="51">#REF!</definedName>
    <definedName name="TOOL_GEN_TD">#REF!</definedName>
    <definedName name="TOTAL">"TOTAL+'990309 수정'!$A$5:$AE$501"</definedName>
    <definedName name="total19" localSheetId="51">#REF!</definedName>
    <definedName name="total19">#REF!</definedName>
    <definedName name="total20" localSheetId="51">#REF!</definedName>
    <definedName name="total20">#REF!</definedName>
    <definedName name="total21" localSheetId="51">#REF!</definedName>
    <definedName name="total21">#REF!</definedName>
    <definedName name="total22" localSheetId="51">#REF!</definedName>
    <definedName name="total22">#REF!</definedName>
    <definedName name="total23" localSheetId="51">#REF!</definedName>
    <definedName name="total23">#REF!</definedName>
    <definedName name="TotalBbmb">[88]PSP1!$C$59</definedName>
    <definedName name="totalin" localSheetId="52">#REF!</definedName>
    <definedName name="totalin" localSheetId="51">#REF!</definedName>
    <definedName name="totalin" localSheetId="1">#REF!</definedName>
    <definedName name="totalin">#REF!</definedName>
    <definedName name="TotalRoE10">[68]Assumptions!$B$23</definedName>
    <definedName name="totalwi" localSheetId="52">#REF!</definedName>
    <definedName name="totalwi" localSheetId="51">#REF!</definedName>
    <definedName name="totalwi" localSheetId="1">#REF!</definedName>
    <definedName name="totalwi">#REF!</definedName>
    <definedName name="TOTALWT">#N/A</definedName>
    <definedName name="TRANSFORMER_ES_TA" localSheetId="51">#REF!</definedName>
    <definedName name="TRANSFORMER_ES_TA">#REF!</definedName>
    <definedName name="TRANSFORMER_ES_TD" localSheetId="51">#REF!</definedName>
    <definedName name="TRANSFORMER_ES_TD">#REF!</definedName>
    <definedName name="tripping" localSheetId="51">#REF!</definedName>
    <definedName name="tripping">#REF!</definedName>
    <definedName name="TrueFalse">#REF!</definedName>
    <definedName name="TRV_LT" localSheetId="51">'[50]ITEM-LIST'!#REF!</definedName>
    <definedName name="TRV_LT">'[50]ITEM-LIST'!#REF!</definedName>
    <definedName name="TRV_NO">#N/A</definedName>
    <definedName name="TRVNO">#N/A</definedName>
    <definedName name="ttt" localSheetId="52" hidden="1">{"'장비'!$A$3:$M$12"}</definedName>
    <definedName name="ttt" localSheetId="51" hidden="1">{"'장비'!$A$3:$M$12"}</definedName>
    <definedName name="ttt" localSheetId="1" hidden="1">{"'장비'!$A$3:$M$12"}</definedName>
    <definedName name="ttt" hidden="1">{"'장비'!$A$3:$M$12"}</definedName>
    <definedName name="tube_test_press1_12" localSheetId="51">#REF!</definedName>
    <definedName name="tube_test_press1_12">#REF!</definedName>
    <definedName name="TYPE">#N/A</definedName>
    <definedName name="U">#N/A</definedName>
    <definedName name="ue____Iª">#N/A</definedName>
    <definedName name="UG">#REF!</definedName>
    <definedName name="ui">#REF!</definedName>
    <definedName name="UM">#N/A</definedName>
    <definedName name="UMMALNAR" localSheetId="51">#REF!</definedName>
    <definedName name="UMMALNAR">#REF!</definedName>
    <definedName name="UNION" localSheetId="51">#REF!</definedName>
    <definedName name="UNION">#REF!</definedName>
    <definedName name="UNIT">#N/A</definedName>
    <definedName name="uNIT1" localSheetId="51">#REF!</definedName>
    <definedName name="uNIT1">#REF!</definedName>
    <definedName name="uNIT2" localSheetId="51">#REF!</definedName>
    <definedName name="uNIT2">#REF!</definedName>
    <definedName name="uNIT3" localSheetId="51">#REF!</definedName>
    <definedName name="uNIT3">#REF!</definedName>
    <definedName name="UNITWT">#N/A</definedName>
    <definedName name="Unsecured_Loans" localSheetId="51">#REF!</definedName>
    <definedName name="Unsecured_Loans">#REF!</definedName>
    <definedName name="USD">'[19]#REF'!$E$24</definedName>
    <definedName name="ut" localSheetId="52" hidden="1">{"'Sheet1'!$L$16"}</definedName>
    <definedName name="ut" localSheetId="51" hidden="1">{"'Sheet1'!$L$16"}</definedName>
    <definedName name="ut" localSheetId="1" hidden="1">{"'Sheet1'!$L$16"}</definedName>
    <definedName name="ut" hidden="1">{"'Sheet1'!$L$16"}</definedName>
    <definedName name="UTPNT" localSheetId="58">[19]!UTPNT</definedName>
    <definedName name="UTPNT" localSheetId="59">[19]!UTPNT</definedName>
    <definedName name="UTPNT">[19]!UTPNT</definedName>
    <definedName name="UW">#N/A</definedName>
    <definedName name="v">[108]ST1!$IV$8176</definedName>
    <definedName name="V_0" localSheetId="52">#REF!</definedName>
    <definedName name="V_0" localSheetId="51">#REF!</definedName>
    <definedName name="V_0" localSheetId="1">#REF!</definedName>
    <definedName name="V_0">#REF!</definedName>
    <definedName name="V_1" localSheetId="51">#REF!</definedName>
    <definedName name="V_1">#REF!</definedName>
    <definedName name="V_10" localSheetId="51">#REF!</definedName>
    <definedName name="V_10">#REF!</definedName>
    <definedName name="V_11" localSheetId="51">#REF!</definedName>
    <definedName name="V_11">#REF!</definedName>
    <definedName name="V_2" localSheetId="51">#REF!</definedName>
    <definedName name="V_2">#REF!</definedName>
    <definedName name="V_3" localSheetId="51">#REF!</definedName>
    <definedName name="V_3">#REF!</definedName>
    <definedName name="V_4" localSheetId="51">#REF!</definedName>
    <definedName name="V_4">#REF!</definedName>
    <definedName name="V_5" localSheetId="51">#REF!</definedName>
    <definedName name="V_5">#REF!</definedName>
    <definedName name="V_6" localSheetId="51">#REF!</definedName>
    <definedName name="V_6">#REF!</definedName>
    <definedName name="V_7" localSheetId="51">#REF!</definedName>
    <definedName name="V_7">#REF!</definedName>
    <definedName name="V_8" localSheetId="51">#REF!</definedName>
    <definedName name="V_8">#REF!</definedName>
    <definedName name="V_9" localSheetId="51">#REF!</definedName>
    <definedName name="V_9">#REF!</definedName>
    <definedName name="V_No" localSheetId="51">#REF!</definedName>
    <definedName name="V_No">#REF!</definedName>
    <definedName name="V_Tp" localSheetId="51">#REF!</definedName>
    <definedName name="V_Tp">#REF!</definedName>
    <definedName name="Val_No" localSheetId="51">#REF!</definedName>
    <definedName name="Val_No">#REF!</definedName>
    <definedName name="VALVE">#N/A</definedName>
    <definedName name="van">[49]CondPol!$F$69</definedName>
    <definedName name="vani" localSheetId="51">[49]MixBed!#REF!</definedName>
    <definedName name="vani">[49]MixBed!#REF!</definedName>
    <definedName name="vani1" localSheetId="51">[49]MixBed!#REF!</definedName>
    <definedName name="vani1">[49]MixBed!#REF!</definedName>
    <definedName name="vcat">[49]CondPol!$F$68</definedName>
    <definedName name="vcati" localSheetId="51">[49]MixBed!#REF!</definedName>
    <definedName name="vcati">[49]MixBed!#REF!</definedName>
    <definedName name="vcati1" localSheetId="51">[49]MixBed!#REF!</definedName>
    <definedName name="vcati1">[49]MixBed!#REF!</definedName>
    <definedName name="VDES">#N/A</definedName>
    <definedName name="VDR_COMP" localSheetId="51">#REF!</definedName>
    <definedName name="VDR_COMP">#REF!</definedName>
    <definedName name="VDR_COMP1" localSheetId="51">#REF!</definedName>
    <definedName name="VDR_COMP1">#REF!</definedName>
    <definedName name="VDR_선택" localSheetId="51">#REF!</definedName>
    <definedName name="VDR_선택">#REF!</definedName>
    <definedName name="VDR_선택1" localSheetId="51">#REF!</definedName>
    <definedName name="VDR_선택1">#REF!</definedName>
    <definedName name="vdsvfkj">'[18]B_S Group'!$H$284</definedName>
    <definedName name="VEND">#N/A</definedName>
    <definedName name="Vendoroyalty" localSheetId="51">[109]Code!$D$23:$D$51</definedName>
    <definedName name="Vendoroyalty">[109]Code!$D$23:$D$51</definedName>
    <definedName name="vf" localSheetId="52" hidden="1">{"'Sheet1'!$L$16"}</definedName>
    <definedName name="vf" localSheetId="51" hidden="1">{"'Sheet1'!$L$16"}</definedName>
    <definedName name="vf" localSheetId="1" hidden="1">{"'Sheet1'!$L$16"}</definedName>
    <definedName name="vf" hidden="1">{"'Sheet1'!$L$16"}</definedName>
    <definedName name="vinert">[49]CondPol!$F$70</definedName>
    <definedName name="vn" localSheetId="52" hidden="1">{"'Sheet1'!$L$16"}</definedName>
    <definedName name="vn" localSheetId="51" hidden="1">{"'Sheet1'!$L$16"}</definedName>
    <definedName name="vn" localSheetId="1" hidden="1">{"'Sheet1'!$L$16"}</definedName>
    <definedName name="vn" hidden="1">{"'Sheet1'!$L$16"}</definedName>
    <definedName name="vo" localSheetId="51">#REF!</definedName>
    <definedName name="vo">#REF!</definedName>
    <definedName name="vtot">[49]CondPol!$F$71</definedName>
    <definedName name="W" localSheetId="52">#REF!</definedName>
    <definedName name="W" localSheetId="51">#REF!</definedName>
    <definedName name="W" localSheetId="1">#REF!</definedName>
    <definedName name="W">#REF!</definedName>
    <definedName name="WC">#N/A</definedName>
    <definedName name="WEEK_1A" localSheetId="51">#REF!</definedName>
    <definedName name="WEEK_1A">#REF!</definedName>
    <definedName name="WEEK_1B" localSheetId="51">#REF!</definedName>
    <definedName name="WEEK_1B">#REF!</definedName>
    <definedName name="WEEK_2A" localSheetId="51">#REF!</definedName>
    <definedName name="WEEK_2A">#REF!</definedName>
    <definedName name="WEEK_2B" localSheetId="51">#REF!</definedName>
    <definedName name="WEEK_2B">#REF!</definedName>
    <definedName name="wefc" localSheetId="51">[18]BEST_17112006!#REF!</definedName>
    <definedName name="wefc">[18]BEST_17112006!#REF!</definedName>
    <definedName name="wefevsdg">[18]BEST_17112006!$A$415:$M$419</definedName>
    <definedName name="wehrt3uyt">'[18]B_S Group'!$H$21</definedName>
    <definedName name="weki_9701.xls" localSheetId="51" hidden="1">'[30]Eq. Mobilization'!#REF!</definedName>
    <definedName name="weki_9701.xls" hidden="1">'[30]Eq. Mobilization'!#REF!</definedName>
    <definedName name="wekir9701.xls" localSheetId="51" hidden="1">'[30]Eq. Mobilization'!#REF!</definedName>
    <definedName name="wekir9701.xls" hidden="1">'[30]Eq. Mobilization'!#REF!</definedName>
    <definedName name="WHEELING" localSheetId="51">'[5]Financial Estimates'!#REF!</definedName>
    <definedName name="WHEELING">'[5]Financial Estimates'!#REF!</definedName>
    <definedName name="WIP_944">#REF!</definedName>
    <definedName name="wmdeo">#N/A</definedName>
    <definedName name="WOL" localSheetId="51">#REF!</definedName>
    <definedName name="WOL">#REF!</definedName>
    <definedName name="Working_capital_Rate_of_Interest_for_FY_10_11" localSheetId="51">[51]Assumption_PwC!$C$116</definedName>
    <definedName name="Working_capital_Rate_of_Interest_for_FY_10_11">[51]Assumption_PwC!$C$116</definedName>
    <definedName name="wrn.Dispatch._.Workbook." localSheetId="52" hidden="1">{"loss",#N/A,TRUE,"Losses";"agg-demand",#N/A,TRUE,"Demand";"disagg-demand",#N/A,TRUE,"Demand";"summ-demand",#N/A,TRUE,"Demand";"mix-demand",#N/A,TRUE,"Demand";"consump-demand",#N/A,TRUE,"Demand";"avail-demand",#N/A,TRUE,"Demand";"dispatch",#N/A,TRUE,"Dispatch";"existing_plants",#N/A,TRUE,"Existing_Plants";"ipp_base",#N/A,TRUE,"New_Plants";"ipp_tariff",#N/A,TRUE,"New_Plants";"ipp_summ",#N/A,TRUE,"New_Plants";"newcpsu_assump",#N/A,TRUE,"New_Plants";"newcpsu_summ",#N/A,TRUE,"New_Plants"}</definedName>
    <definedName name="wrn.Dispatch._.Workbook." localSheetId="51" hidden="1">{"loss",#N/A,TRUE,"Losses";"agg-demand",#N/A,TRUE,"Demand";"disagg-demand",#N/A,TRUE,"Demand";"summ-demand",#N/A,TRUE,"Demand";"mix-demand",#N/A,TRUE,"Demand";"consump-demand",#N/A,TRUE,"Demand";"avail-demand",#N/A,TRUE,"Demand";"dispatch",#N/A,TRUE,"Dispatch";"existing_plants",#N/A,TRUE,"Existing_Plants";"ipp_base",#N/A,TRUE,"New_Plants";"ipp_tariff",#N/A,TRUE,"New_Plants";"ipp_summ",#N/A,TRUE,"New_Plants";"newcpsu_assump",#N/A,TRUE,"New_Plants";"newcpsu_summ",#N/A,TRUE,"New_Plants"}</definedName>
    <definedName name="wrn.Dispatch._.Workbook." localSheetId="1" hidden="1">{"loss",#N/A,TRUE,"Losses";"agg-demand",#N/A,TRUE,"Demand";"disagg-demand",#N/A,TRUE,"Demand";"summ-demand",#N/A,TRUE,"Demand";"mix-demand",#N/A,TRUE,"Demand";"consump-demand",#N/A,TRUE,"Demand";"avail-demand",#N/A,TRUE,"Demand";"dispatch",#N/A,TRUE,"Dispatch";"existing_plants",#N/A,TRUE,"Existing_Plants";"ipp_base",#N/A,TRUE,"New_Plants";"ipp_tariff",#N/A,TRUE,"New_Plants";"ipp_summ",#N/A,TRUE,"New_Plants";"newcpsu_assump",#N/A,TRUE,"New_Plants";"newcpsu_summ",#N/A,TRUE,"New_Plants"}</definedName>
    <definedName name="wrn.Dispatch._.Workbook." hidden="1">{"loss",#N/A,TRUE,"Losses";"agg-demand",#N/A,TRUE,"Demand";"disagg-demand",#N/A,TRUE,"Demand";"summ-demand",#N/A,TRUE,"Demand";"mix-demand",#N/A,TRUE,"Demand";"consump-demand",#N/A,TRUE,"Demand";"avail-demand",#N/A,TRUE,"Demand";"dispatch",#N/A,TRUE,"Dispatch";"existing_plants",#N/A,TRUE,"Existing_Plants";"ipp_base",#N/A,TRUE,"New_Plants";"ipp_tariff",#N/A,TRUE,"New_Plants";"ipp_summ",#N/A,TRUE,"New_Plants";"newcpsu_assump",#N/A,TRUE,"New_Plants";"newcpsu_summ",#N/A,TRUE,"New_Plants"}</definedName>
    <definedName name="wrn.Formats." localSheetId="52" hidden="1">{#N/A,#N/A,FALSE,"Form 1.1";#N/A,#N/A,FALSE,"Sch-VI";#N/A,#N/A,FALSE,"Form 1.1a";#N/A,#N/A,FALSE,"1.1b";#N/A,#N/A,FALSE,"1.1 c";#N/A,#N/A,FALSE,"1.1d";#N/A,#N/A,FALSE,"1.1e";#N/A,#N/A,FALSE,"1.1f";#N/A,#N/A,FALSE,"Capitalisation";#N/A,#N/A,FALSE,"Invt.Plan";#N/A,#N/A,FALSE,"1.1g";#N/A,#N/A,FALSE,"Other Lease";#N/A,#N/A,FALSE,"1.1h";#N/A,#N/A,FALSE,"1.1i";#N/A,#N/A,FALSE,"1.2";#N/A,#N/A,FALSE,"1.3";#N/A,#N/A,FALSE,"1.3b";#N/A,#N/A,FALSE,"1.3c";#N/A,#N/A,FALSE,"1.3d";#N/A,#N/A,FALSE,"1.3e";#N/A,#N/A,FALSE,"1.4";#N/A,#N/A,FALSE,"1.5";#N/A,#N/A,FALSE,"1.6";#N/A,#N/A,FALSE,"2.1 (transco)";#N/A,#N/A,FALSE,"2.1(Discoms)";#N/A,#N/A,FALSE,"4.1 (Transco)";#N/A,#N/A,FALSE,"4.1 (Discoms)";#N/A,#N/A,FALSE,"4.2 (Transco)";#N/A,#N/A,FALSE,"4.2 (Discoms)";#N/A,#N/A,FALSE,"Load Shedding";#N/A,#N/A,FALSE,"Overloading";#N/A,#N/A,FALSE,"Recvbls-Ageing";#N/A,#N/A,FALSE,"Pending . Conn"}</definedName>
    <definedName name="wrn.Formats." localSheetId="51" hidden="1">{#N/A,#N/A,FALSE,"Form 1.1";#N/A,#N/A,FALSE,"Sch-VI";#N/A,#N/A,FALSE,"Form 1.1a";#N/A,#N/A,FALSE,"1.1b";#N/A,#N/A,FALSE,"1.1 c";#N/A,#N/A,FALSE,"1.1d";#N/A,#N/A,FALSE,"1.1e";#N/A,#N/A,FALSE,"1.1f";#N/A,#N/A,FALSE,"Capitalisation";#N/A,#N/A,FALSE,"Invt.Plan";#N/A,#N/A,FALSE,"1.1g";#N/A,#N/A,FALSE,"Other Lease";#N/A,#N/A,FALSE,"1.1h";#N/A,#N/A,FALSE,"1.1i";#N/A,#N/A,FALSE,"1.2";#N/A,#N/A,FALSE,"1.3";#N/A,#N/A,FALSE,"1.3b";#N/A,#N/A,FALSE,"1.3c";#N/A,#N/A,FALSE,"1.3d";#N/A,#N/A,FALSE,"1.3e";#N/A,#N/A,FALSE,"1.4";#N/A,#N/A,FALSE,"1.5";#N/A,#N/A,FALSE,"1.6";#N/A,#N/A,FALSE,"2.1 (transco)";#N/A,#N/A,FALSE,"2.1(Discoms)";#N/A,#N/A,FALSE,"4.1 (Transco)";#N/A,#N/A,FALSE,"4.1 (Discoms)";#N/A,#N/A,FALSE,"4.2 (Transco)";#N/A,#N/A,FALSE,"4.2 (Discoms)";#N/A,#N/A,FALSE,"Load Shedding";#N/A,#N/A,FALSE,"Overloading";#N/A,#N/A,FALSE,"Recvbls-Ageing";#N/A,#N/A,FALSE,"Pending . Conn"}</definedName>
    <definedName name="wrn.Formats." localSheetId="1" hidden="1">{#N/A,#N/A,FALSE,"Form 1.1";#N/A,#N/A,FALSE,"Sch-VI";#N/A,#N/A,FALSE,"Form 1.1a";#N/A,#N/A,FALSE,"1.1b";#N/A,#N/A,FALSE,"1.1 c";#N/A,#N/A,FALSE,"1.1d";#N/A,#N/A,FALSE,"1.1e";#N/A,#N/A,FALSE,"1.1f";#N/A,#N/A,FALSE,"Capitalisation";#N/A,#N/A,FALSE,"Invt.Plan";#N/A,#N/A,FALSE,"1.1g";#N/A,#N/A,FALSE,"Other Lease";#N/A,#N/A,FALSE,"1.1h";#N/A,#N/A,FALSE,"1.1i";#N/A,#N/A,FALSE,"1.2";#N/A,#N/A,FALSE,"1.3";#N/A,#N/A,FALSE,"1.3b";#N/A,#N/A,FALSE,"1.3c";#N/A,#N/A,FALSE,"1.3d";#N/A,#N/A,FALSE,"1.3e";#N/A,#N/A,FALSE,"1.4";#N/A,#N/A,FALSE,"1.5";#N/A,#N/A,FALSE,"1.6";#N/A,#N/A,FALSE,"2.1 (transco)";#N/A,#N/A,FALSE,"2.1(Discoms)";#N/A,#N/A,FALSE,"4.1 (Transco)";#N/A,#N/A,FALSE,"4.1 (Discoms)";#N/A,#N/A,FALSE,"4.2 (Transco)";#N/A,#N/A,FALSE,"4.2 (Discoms)";#N/A,#N/A,FALSE,"Load Shedding";#N/A,#N/A,FALSE,"Overloading";#N/A,#N/A,FALSE,"Recvbls-Ageing";#N/A,#N/A,FALSE,"Pending . Conn"}</definedName>
    <definedName name="wrn.Formats." hidden="1">{#N/A,#N/A,FALSE,"Form 1.1";#N/A,#N/A,FALSE,"Sch-VI";#N/A,#N/A,FALSE,"Form 1.1a";#N/A,#N/A,FALSE,"1.1b";#N/A,#N/A,FALSE,"1.1 c";#N/A,#N/A,FALSE,"1.1d";#N/A,#N/A,FALSE,"1.1e";#N/A,#N/A,FALSE,"1.1f";#N/A,#N/A,FALSE,"Capitalisation";#N/A,#N/A,FALSE,"Invt.Plan";#N/A,#N/A,FALSE,"1.1g";#N/A,#N/A,FALSE,"Other Lease";#N/A,#N/A,FALSE,"1.1h";#N/A,#N/A,FALSE,"1.1i";#N/A,#N/A,FALSE,"1.2";#N/A,#N/A,FALSE,"1.3";#N/A,#N/A,FALSE,"1.3b";#N/A,#N/A,FALSE,"1.3c";#N/A,#N/A,FALSE,"1.3d";#N/A,#N/A,FALSE,"1.3e";#N/A,#N/A,FALSE,"1.4";#N/A,#N/A,FALSE,"1.5";#N/A,#N/A,FALSE,"1.6";#N/A,#N/A,FALSE,"2.1 (transco)";#N/A,#N/A,FALSE,"2.1(Discoms)";#N/A,#N/A,FALSE,"4.1 (Transco)";#N/A,#N/A,FALSE,"4.1 (Discoms)";#N/A,#N/A,FALSE,"4.2 (Transco)";#N/A,#N/A,FALSE,"4.2 (Discoms)";#N/A,#N/A,FALSE,"Load Shedding";#N/A,#N/A,FALSE,"Overloading";#N/A,#N/A,FALSE,"Recvbls-Ageing";#N/A,#N/A,FALSE,"Pending . Conn"}</definedName>
    <definedName name="wrn.Scope._.of._.Supply._.Mechanical." localSheetId="52" hidden="1">{#N/A,#N/A,FALSE,"Mechanical"}</definedName>
    <definedName name="wrn.Scope._.of._.Supply._.Mechanical." localSheetId="51" hidden="1">{#N/A,#N/A,FALSE,"Mechanical"}</definedName>
    <definedName name="wrn.Scope._.of._.Supply._.Mechanical." localSheetId="1" hidden="1">{#N/A,#N/A,FALSE,"Mechanical"}</definedName>
    <definedName name="wrn.Scope._.of._.Supply._.Mechanical." hidden="1">{#N/A,#N/A,FALSE,"Mechanical"}</definedName>
    <definedName name="wrn.testrpt." localSheetId="52" hidden="1">{"Edition",#N/A,FALSE,"Data"}</definedName>
    <definedName name="wrn.testrpt." localSheetId="51" hidden="1">{"Edition",#N/A,FALSE,"Data"}</definedName>
    <definedName name="wrn.testrpt." localSheetId="1" hidden="1">{"Edition",#N/A,FALSE,"Data"}</definedName>
    <definedName name="wrn.testrpt." hidden="1">{"Edition",#N/A,FALSE,"Data"}</definedName>
    <definedName name="www" localSheetId="51">#REF!</definedName>
    <definedName name="www">#REF!</definedName>
    <definedName name="wwww" localSheetId="51">'[110]License Area'!#REF!</definedName>
    <definedName name="wwww">'[110]License Area'!#REF!</definedName>
    <definedName name="X" localSheetId="51" hidden="1">'[40]Eq. Mobilization'!#REF!</definedName>
    <definedName name="X" hidden="1">'[40]Eq. Mobilization'!#REF!</definedName>
    <definedName name="X1_" localSheetId="52">#REF!</definedName>
    <definedName name="X1_" localSheetId="51">#REF!</definedName>
    <definedName name="X1_" localSheetId="1">#REF!</definedName>
    <definedName name="X1_">#REF!</definedName>
    <definedName name="X11__?___QUIT_" localSheetId="51">#REF!</definedName>
    <definedName name="X11__?___QUIT_">#REF!</definedName>
    <definedName name="xcxcxcc" localSheetId="51">#REF!</definedName>
    <definedName name="xcxcxcc">#REF!</definedName>
    <definedName name="xcxvxv" localSheetId="51">'[16]04REL'!#REF!</definedName>
    <definedName name="xcxvxv">'[16]04REL'!#REF!</definedName>
    <definedName name="xczczczc" localSheetId="51">#REF!</definedName>
    <definedName name="xczczczc">#REF!</definedName>
    <definedName name="xczxzxz" localSheetId="51">#REF!,#REF!</definedName>
    <definedName name="xczxzxz">#REF!,#REF!</definedName>
    <definedName name="xfzdsfzsf" localSheetId="51">#REF!</definedName>
    <definedName name="xfzdsfzsf">#REF!</definedName>
    <definedName name="xls" localSheetId="51">#REF!</definedName>
    <definedName name="xls">#REF!</definedName>
    <definedName name="XREF_COLUMN_1" localSheetId="51" hidden="1">[111]MASTER!#REF!</definedName>
    <definedName name="XREF_COLUMN_1" hidden="1">[111]MASTER!#REF!</definedName>
    <definedName name="XREF_COLUMN_10" localSheetId="52" hidden="1">#REF!</definedName>
    <definedName name="XREF_COLUMN_10" localSheetId="51" hidden="1">#REF!</definedName>
    <definedName name="XREF_COLUMN_10" localSheetId="1" hidden="1">#REF!</definedName>
    <definedName name="XREF_COLUMN_10" hidden="1">#REF!</definedName>
    <definedName name="XREF_COLUMN_11" localSheetId="51" hidden="1">#REF!</definedName>
    <definedName name="XREF_COLUMN_11" hidden="1">#REF!</definedName>
    <definedName name="XREF_COLUMN_14" localSheetId="51" hidden="1">#REF!</definedName>
    <definedName name="XREF_COLUMN_14" hidden="1">#REF!</definedName>
    <definedName name="XREF_COLUMN_2" localSheetId="51" hidden="1">[111]MASTER!#REF!</definedName>
    <definedName name="XREF_COLUMN_2" hidden="1">[111]MASTER!#REF!</definedName>
    <definedName name="XREF_COLUMN_4" localSheetId="52" hidden="1">#REF!</definedName>
    <definedName name="XREF_COLUMN_4" localSheetId="51" hidden="1">#REF!</definedName>
    <definedName name="XREF_COLUMN_4" localSheetId="1" hidden="1">#REF!</definedName>
    <definedName name="XREF_COLUMN_4" hidden="1">#REF!</definedName>
    <definedName name="XREF_COLUMN_7" localSheetId="51" hidden="1">#REF!</definedName>
    <definedName name="XREF_COLUMN_7" hidden="1">#REF!</definedName>
    <definedName name="XREF_COLUMN_9" localSheetId="51" hidden="1">#REF!</definedName>
    <definedName name="XREF_COLUMN_9" hidden="1">#REF!</definedName>
    <definedName name="XRefActiveRow" localSheetId="51" hidden="1">#REF!</definedName>
    <definedName name="XRefActiveRow" hidden="1">#REF!</definedName>
    <definedName name="XRefColumnsCount" hidden="1">14</definedName>
    <definedName name="XRefCopy11" localSheetId="51" hidden="1">#REF!</definedName>
    <definedName name="XRefCopy11" hidden="1">#REF!</definedName>
    <definedName name="XRefCopy12Row" localSheetId="51" hidden="1">[112]XREF!#REF!</definedName>
    <definedName name="XRefCopy12Row" hidden="1">[112]XREF!#REF!</definedName>
    <definedName name="XRefCopy14" localSheetId="52" hidden="1">#REF!</definedName>
    <definedName name="XRefCopy14" localSheetId="51" hidden="1">#REF!</definedName>
    <definedName name="XRefCopy14" localSheetId="1" hidden="1">#REF!</definedName>
    <definedName name="XRefCopy14" hidden="1">#REF!</definedName>
    <definedName name="XRefCopy15" localSheetId="51" hidden="1">#REF!</definedName>
    <definedName name="XRefCopy15" hidden="1">#REF!</definedName>
    <definedName name="XRefCopy16" localSheetId="51" hidden="1">#REF!</definedName>
    <definedName name="XRefCopy16" hidden="1">#REF!</definedName>
    <definedName name="XRefCopy16Row" localSheetId="51" hidden="1">#REF!</definedName>
    <definedName name="XRefCopy16Row" hidden="1">#REF!</definedName>
    <definedName name="XRefCopy17" localSheetId="51" hidden="1">#REF!</definedName>
    <definedName name="XRefCopy17" hidden="1">#REF!</definedName>
    <definedName name="XRefCopy17Row" localSheetId="51" hidden="1">#REF!</definedName>
    <definedName name="XRefCopy17Row" hidden="1">#REF!</definedName>
    <definedName name="XRefCopy18Row" localSheetId="51" hidden="1">#REF!</definedName>
    <definedName name="XRefCopy18Row" hidden="1">#REF!</definedName>
    <definedName name="XRefCopy19Row" localSheetId="51" hidden="1">#REF!</definedName>
    <definedName name="XRefCopy19Row" hidden="1">#REF!</definedName>
    <definedName name="XRefCopy1Row" localSheetId="51" hidden="1">#REF!</definedName>
    <definedName name="XRefCopy1Row" hidden="1">#REF!</definedName>
    <definedName name="XRefCopy2" localSheetId="51" hidden="1">#REF!</definedName>
    <definedName name="XRefCopy2" hidden="1">#REF!</definedName>
    <definedName name="XRefCopy20" localSheetId="51" hidden="1">#REF!</definedName>
    <definedName name="XRefCopy20" hidden="1">#REF!</definedName>
    <definedName name="XRefCopy20Row" localSheetId="51" hidden="1">#REF!</definedName>
    <definedName name="XRefCopy20Row" hidden="1">#REF!</definedName>
    <definedName name="XRefCopy21Row" localSheetId="51" hidden="1">#REF!</definedName>
    <definedName name="XRefCopy21Row" hidden="1">#REF!</definedName>
    <definedName name="XRefCopy2Row" localSheetId="51" hidden="1">#REF!</definedName>
    <definedName name="XRefCopy2Row" hidden="1">#REF!</definedName>
    <definedName name="XRefCopy3" localSheetId="51" hidden="1">#REF!</definedName>
    <definedName name="XRefCopy3" hidden="1">#REF!</definedName>
    <definedName name="XRefCopy3Row" localSheetId="51" hidden="1">#REF!</definedName>
    <definedName name="XRefCopy3Row" hidden="1">#REF!</definedName>
    <definedName name="XRefCopy4Row" localSheetId="51" hidden="1">#REF!</definedName>
    <definedName name="XRefCopy4Row" hidden="1">#REF!</definedName>
    <definedName name="XRefCopy5Row" localSheetId="51" hidden="1">#REF!</definedName>
    <definedName name="XRefCopy5Row" hidden="1">#REF!</definedName>
    <definedName name="XRefCopyRangeCount" hidden="1">21</definedName>
    <definedName name="XRefPaste10Row" localSheetId="51" hidden="1">[112]XREF!#REF!</definedName>
    <definedName name="XRefPaste10Row" hidden="1">[112]XREF!#REF!</definedName>
    <definedName name="XRefPaste12" localSheetId="52" hidden="1">#REF!</definedName>
    <definedName name="XRefPaste12" localSheetId="51" hidden="1">#REF!</definedName>
    <definedName name="XRefPaste12" localSheetId="1" hidden="1">#REF!</definedName>
    <definedName name="XRefPaste12" hidden="1">#REF!</definedName>
    <definedName name="XRefPaste12Row" localSheetId="51" hidden="1">#REF!</definedName>
    <definedName name="XRefPaste12Row" hidden="1">#REF!</definedName>
    <definedName name="XRefPaste13" localSheetId="51" hidden="1">#REF!</definedName>
    <definedName name="XRefPaste13" hidden="1">#REF!</definedName>
    <definedName name="XRefPaste13Row" localSheetId="51" hidden="1">#REF!</definedName>
    <definedName name="XRefPaste13Row" hidden="1">#REF!</definedName>
    <definedName name="XRefPaste14" localSheetId="51" hidden="1">#REF!</definedName>
    <definedName name="XRefPaste14" hidden="1">#REF!</definedName>
    <definedName name="XRefPaste14Row" localSheetId="51" hidden="1">#REF!</definedName>
    <definedName name="XRefPaste14Row" hidden="1">#REF!</definedName>
    <definedName name="XRefPaste15" localSheetId="51" hidden="1">#REF!</definedName>
    <definedName name="XRefPaste15" hidden="1">#REF!</definedName>
    <definedName name="XRefPaste15Row" localSheetId="51" hidden="1">#REF!</definedName>
    <definedName name="XRefPaste15Row" hidden="1">#REF!</definedName>
    <definedName name="XRefPaste16" localSheetId="51" hidden="1">#REF!</definedName>
    <definedName name="XRefPaste16" hidden="1">#REF!</definedName>
    <definedName name="XRefPaste16Row" localSheetId="51" hidden="1">#REF!</definedName>
    <definedName name="XRefPaste16Row" hidden="1">#REF!</definedName>
    <definedName name="XRefPaste17" localSheetId="51" hidden="1">#REF!</definedName>
    <definedName name="XRefPaste17" hidden="1">#REF!</definedName>
    <definedName name="XRefPaste17Row" localSheetId="51" hidden="1">#REF!</definedName>
    <definedName name="XRefPaste17Row" hidden="1">#REF!</definedName>
    <definedName name="XRefPaste1Row" localSheetId="51" hidden="1">#REF!</definedName>
    <definedName name="XRefPaste1Row" hidden="1">#REF!</definedName>
    <definedName name="XRefPaste2" localSheetId="51" hidden="1">#REF!</definedName>
    <definedName name="XRefPaste2" hidden="1">#REF!</definedName>
    <definedName name="XRefPaste2Row" localSheetId="51" hidden="1">#REF!</definedName>
    <definedName name="XRefPaste2Row" hidden="1">#REF!</definedName>
    <definedName name="XRefPaste3Row" localSheetId="51" hidden="1">#REF!</definedName>
    <definedName name="XRefPaste3Row" hidden="1">#REF!</definedName>
    <definedName name="XRefPaste4Row" localSheetId="51" hidden="1">#REF!</definedName>
    <definedName name="XRefPaste4Row" hidden="1">#REF!</definedName>
    <definedName name="XRefPaste5" localSheetId="51" hidden="1">#REF!</definedName>
    <definedName name="XRefPaste5" hidden="1">#REF!</definedName>
    <definedName name="XRefPaste5Row" localSheetId="51" hidden="1">#REF!</definedName>
    <definedName name="XRefPaste5Row" hidden="1">#REF!</definedName>
    <definedName name="XRefPaste7" localSheetId="51" hidden="1">#REF!</definedName>
    <definedName name="XRefPaste7" hidden="1">#REF!</definedName>
    <definedName name="XRefPaste8" localSheetId="51" hidden="1">#REF!</definedName>
    <definedName name="XRefPaste8" hidden="1">#REF!</definedName>
    <definedName name="XRefPasteRangeCount" hidden="1">17</definedName>
    <definedName name="xxxx" localSheetId="51" hidden="1">[113]CE!#REF!</definedName>
    <definedName name="xxxx" hidden="1">[113]CE!#REF!</definedName>
    <definedName name="xzxzxcxc" localSheetId="52">#REF!</definedName>
    <definedName name="xzxzxcxc" localSheetId="51">#REF!</definedName>
    <definedName name="xzxzxcxc" localSheetId="1">#REF!</definedName>
    <definedName name="xzxzxcxc">#REF!</definedName>
    <definedName name="Y" localSheetId="52" hidden="1">'[40]Eq. Mobilization'!#REF!</definedName>
    <definedName name="Y" localSheetId="51" hidden="1">'[40]Eq. Mobilization'!#REF!</definedName>
    <definedName name="Y" localSheetId="1" hidden="1">'[40]Eq. Mobilization'!#REF!</definedName>
    <definedName name="Y" hidden="1">'[40]Eq. Mobilization'!#REF!</definedName>
    <definedName name="y_strainer" localSheetId="52">#REF!</definedName>
    <definedName name="y_strainer" localSheetId="51">#REF!</definedName>
    <definedName name="y_strainer" localSheetId="1">#REF!</definedName>
    <definedName name="y_strainer">#REF!</definedName>
    <definedName name="Y122_">[3]DLC!$HR$109</definedName>
    <definedName name="YEAR" localSheetId="51">#REF!</definedName>
    <definedName name="YEAR">#REF!</definedName>
    <definedName name="Year1" localSheetId="51">#REF!</definedName>
    <definedName name="Year1">#REF!</definedName>
    <definedName name="year2011" localSheetId="51">#REF!</definedName>
    <definedName name="year2011">#REF!</definedName>
    <definedName name="ygshjshua" localSheetId="51">#REF!</definedName>
    <definedName name="ygshjshua">#REF!</definedName>
    <definedName name="yi" localSheetId="52" hidden="1">{"'Sheet1'!$L$16"}</definedName>
    <definedName name="yi" localSheetId="51" hidden="1">{"'Sheet1'!$L$16"}</definedName>
    <definedName name="yi" localSheetId="1" hidden="1">{"'Sheet1'!$L$16"}</definedName>
    <definedName name="yi" hidden="1">{"'Sheet1'!$L$16"}</definedName>
    <definedName name="YTPI">#REF!</definedName>
    <definedName name="YV">'[54]해외 연수비용 계산-삭제'!#REF!</definedName>
    <definedName name="yy" localSheetId="52">#REF!</definedName>
    <definedName name="yy" localSheetId="51">#REF!</definedName>
    <definedName name="yy" localSheetId="1">#REF!</definedName>
    <definedName name="yy">#REF!</definedName>
    <definedName name="Z" localSheetId="52" hidden="1">'[40]Eq. Mobilization'!#REF!</definedName>
    <definedName name="Z" localSheetId="51" hidden="1">'[40]Eq. Mobilization'!#REF!</definedName>
    <definedName name="Z" localSheetId="1" hidden="1">'[40]Eq. Mobilization'!#REF!</definedName>
    <definedName name="Z" hidden="1">'[40]Eq. Mobilization'!#REF!</definedName>
    <definedName name="z\" localSheetId="52">#REF!</definedName>
    <definedName name="z\" localSheetId="51">#REF!</definedName>
    <definedName name="z\" localSheetId="1">#REF!</definedName>
    <definedName name="z\">#REF!</definedName>
    <definedName name="Z_L_I_T_E_N">#N/A</definedName>
    <definedName name="zbhh" localSheetId="51">#REF!</definedName>
    <definedName name="zbhh">#REF!</definedName>
    <definedName name="ZX" localSheetId="51">'[54]해외 연수비용 계산-삭제'!#REF!</definedName>
    <definedName name="ZX">'[54]해외 연수비용 계산-삭제'!#REF!</definedName>
    <definedName name="zz" localSheetId="52">#REF!</definedName>
    <definedName name="zz" localSheetId="51">#REF!</definedName>
    <definedName name="zz" localSheetId="1">#REF!</definedName>
    <definedName name="zz">#REF!</definedName>
    <definedName name="zzxxx" localSheetId="52">#REF!,#REF!</definedName>
    <definedName name="zzxxx" localSheetId="51">#REF!,#REF!</definedName>
    <definedName name="zzxxx" localSheetId="1">#REF!,#REF!</definedName>
    <definedName name="zzxxx">#REF!,#REF!</definedName>
    <definedName name="zzzz">#REF!</definedName>
    <definedName name="ㄱㄱㄱ" localSheetId="51">#REF!</definedName>
    <definedName name="ㄱㄱㄱ">#REF!</definedName>
    <definedName name="간경1" localSheetId="51">#REF!</definedName>
    <definedName name="간경1">#REF!</definedName>
    <definedName name="간경2" localSheetId="51">#REF!</definedName>
    <definedName name="간경2">#REF!</definedName>
    <definedName name="간경3" localSheetId="51">#REF!</definedName>
    <definedName name="간경3">#REF!</definedName>
    <definedName name="간경4" localSheetId="51">#REF!</definedName>
    <definedName name="간경4">#REF!</definedName>
    <definedName name="간노1" localSheetId="51">#REF!</definedName>
    <definedName name="간노1">#REF!</definedName>
    <definedName name="간노2" localSheetId="51">#REF!</definedName>
    <definedName name="간노2">#REF!</definedName>
    <definedName name="간재" localSheetId="51">#REF!</definedName>
    <definedName name="간재">#REF!</definedName>
    <definedName name="감가" localSheetId="51">#REF!</definedName>
    <definedName name="감가">#REF!</definedName>
    <definedName name="건">#N/A</definedName>
    <definedName name="견적데이타" localSheetId="51">[114]견적기준!#REF!</definedName>
    <definedName name="견적데이타">[114]견적기준!#REF!</definedName>
    <definedName name="계전2" localSheetId="52" hidden="1">#REF!</definedName>
    <definedName name="계전2" localSheetId="51" hidden="1">#REF!</definedName>
    <definedName name="계전2" localSheetId="1" hidden="1">#REF!</definedName>
    <definedName name="계전2" hidden="1">#REF!</definedName>
    <definedName name="공" localSheetId="51">#REF!</definedName>
    <definedName name="공">#REF!</definedName>
    <definedName name="공사명" localSheetId="51">#REF!</definedName>
    <definedName name="공사명">#REF!</definedName>
    <definedName name="공장" localSheetId="51">#REF!</definedName>
    <definedName name="공장">#REF!</definedName>
    <definedName name="기계설치공" localSheetId="51">#REF!</definedName>
    <definedName name="기계설치공">#REF!</definedName>
    <definedName name="기계설치공__플랜트" localSheetId="51">#REF!</definedName>
    <definedName name="기계설치공__플랜트">#REF!</definedName>
    <definedName name="기타_선택" localSheetId="51">#REF!</definedName>
    <definedName name="기타_선택">#REF!</definedName>
    <definedName name="기타_선택1" localSheetId="51">#REF!</definedName>
    <definedName name="기타_선택1">#REF!</definedName>
    <definedName name="ㄴㅇㄹ">#N/A</definedName>
    <definedName name="ㄴㅇㄹㅇㄹ" localSheetId="51" hidden="1">'[40]Eq. Mobilization'!#REF!</definedName>
    <definedName name="ㄴㅇㄹㅇㄹ" hidden="1">'[40]Eq. Mobilization'!#REF!</definedName>
    <definedName name="납기일" localSheetId="52">#REF!</definedName>
    <definedName name="납기일" localSheetId="51">#REF!</definedName>
    <definedName name="납기일" localSheetId="1">#REF!</definedName>
    <definedName name="납기일">#REF!</definedName>
    <definedName name="내역서" localSheetId="51">#REF!</definedName>
    <definedName name="내역서">#REF!</definedName>
    <definedName name="ㄷ" localSheetId="52">OFFSET([115]규격!#REF!,1,[115]규격!$E$3-1,10,1)</definedName>
    <definedName name="ㄷ" localSheetId="51">OFFSET([115]규격!#REF!,1,[115]규격!$E$3-1,10,1)</definedName>
    <definedName name="ㄷ" localSheetId="1">OFFSET([115]규격!#REF!,1,[115]규격!$E$3-1,10,1)</definedName>
    <definedName name="ㄷ">OFFSET([115]규격!#REF!,1,[115]규격!$E$3-1,10,1)</definedName>
    <definedName name="단가" localSheetId="51">[116]기준표!$A:$C</definedName>
    <definedName name="단가">[116]기준표!$A$1:$C$65536</definedName>
    <definedName name="당등" localSheetId="52">#REF!</definedName>
    <definedName name="당등" localSheetId="51">#REF!</definedName>
    <definedName name="당등" localSheetId="1">#REF!</definedName>
    <definedName name="당등">#REF!</definedName>
    <definedName name="대" localSheetId="52" hidden="1">{"Edition",#N/A,FALSE,"Data"}</definedName>
    <definedName name="대" localSheetId="51" hidden="1">{"Edition",#N/A,FALSE,"Data"}</definedName>
    <definedName name="대" localSheetId="1" hidden="1">{"Edition",#N/A,FALSE,"Data"}</definedName>
    <definedName name="대" hidden="1">{"Edition",#N/A,FALSE,"Data"}</definedName>
    <definedName name="대비표_COMP" localSheetId="51">#REF!</definedName>
    <definedName name="대비표_COMP">#REF!</definedName>
    <definedName name="대비표_선택" localSheetId="51">#REF!</definedName>
    <definedName name="대비표_선택">#REF!</definedName>
    <definedName name="ㄹㅇ" localSheetId="51">#REF!</definedName>
    <definedName name="ㄹㅇ">#REF!</definedName>
    <definedName name="ㄹㅇㄴ" localSheetId="52" hidden="1">{"'Sheet1'!$L$16"}</definedName>
    <definedName name="ㄹㅇㄴ" localSheetId="51" hidden="1">{"'Sheet1'!$L$16"}</definedName>
    <definedName name="ㄹㅇㄴ" localSheetId="1" hidden="1">{"'Sheet1'!$L$16"}</definedName>
    <definedName name="ㄹㅇㄴ" hidden="1">{"'Sheet1'!$L$16"}</definedName>
    <definedName name="ㅁ01" localSheetId="51">#REF!</definedName>
    <definedName name="ㅁ01">#REF!</definedName>
    <definedName name="ㅁ1" localSheetId="51">#REF!</definedName>
    <definedName name="ㅁ1">#REF!</definedName>
    <definedName name="ㅁㅁㅁ" localSheetId="51">#REF!</definedName>
    <definedName name="ㅁㅁㅁ">#REF!</definedName>
    <definedName name="ㅁㅁㅁㅁ" localSheetId="52" hidden="1">{"Edition",#N/A,FALSE,"Data"}</definedName>
    <definedName name="ㅁㅁㅁㅁ" localSheetId="51" hidden="1">{"Edition",#N/A,FALSE,"Data"}</definedName>
    <definedName name="ㅁㅁㅁㅁ" localSheetId="1" hidden="1">{"Edition",#N/A,FALSE,"Data"}</definedName>
    <definedName name="ㅁㅁㅁㅁ" hidden="1">{"Edition",#N/A,FALSE,"Data"}</definedName>
    <definedName name="목공" localSheetId="51">#REF!</definedName>
    <definedName name="목공">#REF!</definedName>
    <definedName name="목도공" localSheetId="51">#REF!</definedName>
    <definedName name="목도공">#REF!</definedName>
    <definedName name="몰라" localSheetId="52" hidden="1">{"Edition",#N/A,FALSE,"Data"}</definedName>
    <definedName name="몰라" localSheetId="51" hidden="1">{"Edition",#N/A,FALSE,"Data"}</definedName>
    <definedName name="몰라" localSheetId="1" hidden="1">{"Edition",#N/A,FALSE,"Data"}</definedName>
    <definedName name="몰라" hidden="1">{"Edition",#N/A,FALSE,"Data"}</definedName>
    <definedName name="뭐라소" localSheetId="51">'[117] FURNACE현설'!$A$1:$K$24</definedName>
    <definedName name="뭐라소">'[117] FURNACE현설'!$A$1:$K$24</definedName>
    <definedName name="ㅂ" localSheetId="52">#REF!</definedName>
    <definedName name="ㅂ" localSheetId="51">#REF!</definedName>
    <definedName name="ㅂ" localSheetId="1">#REF!</definedName>
    <definedName name="ㅂ">#REF!</definedName>
    <definedName name="ㅂㅂㅂ" localSheetId="51">#REF!</definedName>
    <definedName name="ㅂㅂㅂ">#REF!</definedName>
    <definedName name="ㅂㅂㅂㅂㅂ" localSheetId="51">#REF!</definedName>
    <definedName name="ㅂㅂㅂㅂㅂ">#REF!</definedName>
    <definedName name="배관공" localSheetId="51">#REF!</definedName>
    <definedName name="배관공">#REF!</definedName>
    <definedName name="보통_인부" localSheetId="51">#REF!</definedName>
    <definedName name="보통_인부">#REF!</definedName>
    <definedName name="부분합" localSheetId="51">#REF!</definedName>
    <definedName name="부분합">#REF!</definedName>
    <definedName name="부분합범위" localSheetId="51">#REF!</definedName>
    <definedName name="부분합범위">#REF!</definedName>
    <definedName name="비목2" localSheetId="51">#REF!</definedName>
    <definedName name="비목2">#REF!</definedName>
    <definedName name="비목3" localSheetId="51">#REF!</definedName>
    <definedName name="비목3">#REF!</definedName>
    <definedName name="비목4" localSheetId="51">#REF!</definedName>
    <definedName name="비목4">#REF!</definedName>
    <definedName name="ㅅㄷ" localSheetId="52" hidden="1">{"'Sheet1'!$L$16"}</definedName>
    <definedName name="ㅅㄷ" localSheetId="51" hidden="1">{"'Sheet1'!$L$16"}</definedName>
    <definedName name="ㅅㄷ" localSheetId="1" hidden="1">{"'Sheet1'!$L$16"}</definedName>
    <definedName name="ㅅㄷ" hidden="1">{"'Sheet1'!$L$16"}</definedName>
    <definedName name="사외" localSheetId="51">#REF!</definedName>
    <definedName name="사외">#REF!</definedName>
    <definedName name="선투입추정" localSheetId="51">#REF!</definedName>
    <definedName name="선투입추정">#REF!</definedName>
    <definedName name="소모비" localSheetId="51">#REF!</definedName>
    <definedName name="소모비">#REF!</definedName>
    <definedName name="소분류">OFFSET([118]예제!$C$1,1,[118]예제!$A$15-1,10,1)</definedName>
    <definedName name="소분류동적A">"OFFSET('규격'!$C$1,1,'규격'!$A$15-1,COUNTA(OFFSET('규격'!$E$3,1,'규격'!$H$3-1,10,1),1))"</definedName>
    <definedName name="수주일" localSheetId="51">#REF!</definedName>
    <definedName name="수주일">#REF!</definedName>
    <definedName name="ㅇㄴㄹㅇㄹㄴㅇㄹ" localSheetId="51">#REF!</definedName>
    <definedName name="ㅇㄴㄹㅇㄹㄴㅇㄹ">#REF!</definedName>
    <definedName name="ㅇㄹㄴㅇㄹ" localSheetId="51">'[119]MOB-MAN1'!$D$40:$BW$49</definedName>
    <definedName name="ㅇㄹㄴㅇㄹ">'[119]MOB-MAN1'!$D$40:$BW$49</definedName>
    <definedName name="양식1" localSheetId="52">#REF!</definedName>
    <definedName name="양식1" localSheetId="51">#REF!</definedName>
    <definedName name="양식1" localSheetId="1">#REF!</definedName>
    <definedName name="양식1">#REF!</definedName>
    <definedName name="양식2" localSheetId="51">#REF!</definedName>
    <definedName name="양식2">#REF!</definedName>
    <definedName name="양식3" localSheetId="51">#REF!</definedName>
    <definedName name="양식3">#REF!</definedName>
    <definedName name="엘피드럼" localSheetId="51">#REF!</definedName>
    <definedName name="엘피드럼">#REF!</definedName>
    <definedName name="영흥" localSheetId="52" hidden="1">{"Edition",#N/A,FALSE,"Data"}</definedName>
    <definedName name="영흥" localSheetId="51" hidden="1">{"Edition",#N/A,FALSE,"Data"}</definedName>
    <definedName name="영흥" localSheetId="1" hidden="1">{"Edition",#N/A,FALSE,"Data"}</definedName>
    <definedName name="영흥" hidden="1">{"Edition",#N/A,FALSE,"Data"}</definedName>
    <definedName name="영흥2" localSheetId="52" hidden="1">{"Edition",#N/A,FALSE,"Data"}</definedName>
    <definedName name="영흥2" localSheetId="51" hidden="1">{"Edition",#N/A,FALSE,"Data"}</definedName>
    <definedName name="영흥2" localSheetId="1" hidden="1">{"Edition",#N/A,FALSE,"Data"}</definedName>
    <definedName name="영흥2" hidden="1">{"Edition",#N/A,FALSE,"Data"}</definedName>
    <definedName name="원가집계" localSheetId="51">#REF!</definedName>
    <definedName name="원가집계">#REF!</definedName>
    <definedName name="원초적계획" localSheetId="51">[120]소화실적!#REF!</definedName>
    <definedName name="원초적계획">[120]소화실적!#REF!</definedName>
    <definedName name="위치" localSheetId="52" hidden="1">{"Edition",#N/A,FALSE,"Data"}</definedName>
    <definedName name="위치" localSheetId="51" hidden="1">{"Edition",#N/A,FALSE,"Data"}</definedName>
    <definedName name="위치" localSheetId="1" hidden="1">{"Edition",#N/A,FALSE,"Data"}</definedName>
    <definedName name="위치" hidden="1">{"Edition",#N/A,FALSE,"Data"}</definedName>
    <definedName name="은성호" localSheetId="52">BlankMacro1</definedName>
    <definedName name="은성호" localSheetId="51">BlankMacro1</definedName>
    <definedName name="은성호" localSheetId="58">BlankMacro1</definedName>
    <definedName name="은성호" localSheetId="59">BlankMacro1</definedName>
    <definedName name="은성호" localSheetId="1">BlankMacro1</definedName>
    <definedName name="은성호">BlankMacro1</definedName>
    <definedName name="이지숙" localSheetId="52">BlankMacro1</definedName>
    <definedName name="이지숙" localSheetId="51">BlankMacro1</definedName>
    <definedName name="이지숙" localSheetId="58">BlankMacro1</definedName>
    <definedName name="이지숙" localSheetId="59">BlankMacro1</definedName>
    <definedName name="이지숙" localSheetId="1">BlankMacro1</definedName>
    <definedName name="이지숙">BlankMacro1</definedName>
    <definedName name="임율표" localSheetId="51">'[121]임율 Data'!$A$1:$H$6</definedName>
    <definedName name="임율표">'[121]임율 Data'!$A$1:$H$6</definedName>
    <definedName name="ㅈ" localSheetId="51">'[122]M-EQPT-Z'!#REF!</definedName>
    <definedName name="ㅈ">'[122]M-EQPT-Z'!#REF!</definedName>
    <definedName name="장수인">#N/A</definedName>
    <definedName name="전" localSheetId="51">#REF!</definedName>
    <definedName name="전">#REF!</definedName>
    <definedName name="주택사업본부" localSheetId="51">#REF!</definedName>
    <definedName name="주택사업본부">#REF!</definedName>
    <definedName name="중장비건축" localSheetId="52">BlankMacro1</definedName>
    <definedName name="중장비건축" localSheetId="51">BlankMacro1</definedName>
    <definedName name="중장비건축" localSheetId="58">BlankMacro1</definedName>
    <definedName name="중장비건축" localSheetId="59">BlankMacro1</definedName>
    <definedName name="중장비건축" localSheetId="1">BlankMacro1</definedName>
    <definedName name="중장비건축">BlankMacro1</definedName>
    <definedName name="증계">#N/A</definedName>
    <definedName name="증대">#N/A</definedName>
    <definedName name="증대2">#N/A</definedName>
    <definedName name="지1" localSheetId="52">#REF!</definedName>
    <definedName name="지1" localSheetId="51">#REF!</definedName>
    <definedName name="지1" localSheetId="1">#REF!</definedName>
    <definedName name="지1">#REF!</definedName>
    <definedName name="지21" localSheetId="51">#REF!</definedName>
    <definedName name="지21">#REF!</definedName>
    <definedName name="지22" localSheetId="51">#REF!</definedName>
    <definedName name="지22">#REF!</definedName>
    <definedName name="지23" localSheetId="51">#REF!</definedName>
    <definedName name="지23">#REF!</definedName>
    <definedName name="지24" localSheetId="51">#REF!</definedName>
    <definedName name="지24">#REF!</definedName>
    <definedName name="지25" localSheetId="51">#REF!</definedName>
    <definedName name="지25">#REF!</definedName>
    <definedName name="지숙1" localSheetId="52">BlankMacro1</definedName>
    <definedName name="지숙1" localSheetId="51">BlankMacro1</definedName>
    <definedName name="지숙1" localSheetId="58">BlankMacro1</definedName>
    <definedName name="지숙1" localSheetId="59">BlankMacro1</definedName>
    <definedName name="지숙1" localSheetId="1">BlankMacro1</definedName>
    <definedName name="지숙1">BlankMacro1</definedName>
    <definedName name="지지물" localSheetId="52">#REF!</definedName>
    <definedName name="지지물" localSheetId="51">#REF!</definedName>
    <definedName name="지지물" localSheetId="1">#REF!</definedName>
    <definedName name="지지물">#REF!</definedName>
    <definedName name="지지물집계" localSheetId="51">#REF!</definedName>
    <definedName name="지지물집계">#REF!</definedName>
    <definedName name="직노" localSheetId="51">#REF!</definedName>
    <definedName name="직노">#REF!</definedName>
    <definedName name="직접_선택" localSheetId="51">#REF!</definedName>
    <definedName name="직접_선택">#REF!</definedName>
    <definedName name="직접재료비" localSheetId="51">#REF!</definedName>
    <definedName name="직접재료비">#REF!</definedName>
    <definedName name="짚게" localSheetId="51">#REF!</definedName>
    <definedName name="짚게">#REF!</definedName>
    <definedName name="ㅊㅌㅍㅊㅍㅊㅌㅍㅊㅌㅍㅊㅌㅍㅊㅌㅍㅊㅌㅍ" localSheetId="51" hidden="1">'[123]Eq. Mobilization'!#REF!</definedName>
    <definedName name="ㅊㅌㅍㅊㅍㅊㅌㅍㅊㅌㅍㅊㅌㅍㅊㅌㅍㅊㅌㅍ" hidden="1">'[123]Eq. Mobilization'!#REF!</definedName>
    <definedName name="ㅊㅌㅍㅊㅍㅌㅋㅊㅍㅌㅊㅍ" hidden="1">'[123]Eq. Mobilization'!#REF!</definedName>
    <definedName name="ㅊㅌㅍㅋㅊㅍㅌㅊㅍㅌㅊㅍ" hidden="1">'[123]Eq. Mobilization'!#REF!</definedName>
    <definedName name="ㅊㅌㅍㅌㅊㅍㅊㅌㅍㅌㅊㅍㅌㅊㅍ" hidden="1">'[123]Eq. Mobilization'!#REF!</definedName>
    <definedName name="차량" localSheetId="52">BlankMacro1</definedName>
    <definedName name="차량" localSheetId="51">BlankMacro1</definedName>
    <definedName name="차량" localSheetId="58">BlankMacro1</definedName>
    <definedName name="차량" localSheetId="59">BlankMacro1</definedName>
    <definedName name="차량" localSheetId="1">BlankMacro1</definedName>
    <definedName name="차량">BlankMacro1</definedName>
    <definedName name="차량1" localSheetId="52">BlankMacro1</definedName>
    <definedName name="차량1" localSheetId="51">BlankMacro1</definedName>
    <definedName name="차량1" localSheetId="58">BlankMacro1</definedName>
    <definedName name="차량1" localSheetId="59">BlankMacro1</definedName>
    <definedName name="차량1" localSheetId="1">BlankMacro1</definedName>
    <definedName name="차량1">BlankMacro1</definedName>
    <definedName name="철구사업본부" localSheetId="52">#REF!</definedName>
    <definedName name="철구사업본부" localSheetId="51">#REF!</definedName>
    <definedName name="철구사업본부" localSheetId="1">#REF!</definedName>
    <definedName name="철구사업본부">#REF!</definedName>
    <definedName name="최상철" localSheetId="52">BlankMacro1</definedName>
    <definedName name="최상철" localSheetId="51">BlankMacro1</definedName>
    <definedName name="최상철" localSheetId="58">BlankMacro1</definedName>
    <definedName name="최상철" localSheetId="59">BlankMacro1</definedName>
    <definedName name="최상철" localSheetId="1">BlankMacro1</definedName>
    <definedName name="최상철">BlankMacro1</definedName>
    <definedName name="추" localSheetId="52" hidden="1">{"'Sheet1'!$L$16"}</definedName>
    <definedName name="추" localSheetId="51" hidden="1">{"'Sheet1'!$L$16"}</definedName>
    <definedName name="추" localSheetId="1" hidden="1">{"'Sheet1'!$L$16"}</definedName>
    <definedName name="추" hidden="1">{"'Sheet1'!$L$16"}</definedName>
    <definedName name="추가분" localSheetId="52" hidden="1">{"'장비'!$A$3:$M$12"}</definedName>
    <definedName name="추가분" localSheetId="51" hidden="1">{"'장비'!$A$3:$M$12"}</definedName>
    <definedName name="추가분" localSheetId="1" hidden="1">{"'장비'!$A$3:$M$12"}</definedName>
    <definedName name="추가분" hidden="1">{"'장비'!$A$3:$M$12"}</definedName>
    <definedName name="ㅋ" hidden="1">'[123]Eq. Mobilization'!#REF!</definedName>
    <definedName name="ㅋㅋㅋㅋ" hidden="1">'[123]Eq. Mobilization'!#REF!</definedName>
    <definedName name="ㅋㅋㅋㅋㅋㅋ" hidden="1">'[123]Eq. Mobilization'!#REF!</definedName>
    <definedName name="ㅋㅋㅋㅋㅋㅋㅋㅋㅋ" hidden="1">'[123]Eq. Mobilization'!#REF!</definedName>
    <definedName name="클_레_임">#N/A</definedName>
    <definedName name="ㅌㅊㅍㅌㅊㅍㅌㅋㅊㅍㅌ" hidden="1">'[123]Eq. Mobilization'!#REF!</definedName>
    <definedName name="타부서_선택" localSheetId="52">#REF!</definedName>
    <definedName name="타부서_선택" localSheetId="51">#REF!</definedName>
    <definedName name="타부서_선택" localSheetId="1">#REF!</definedName>
    <definedName name="타부서_선택">#REF!</definedName>
    <definedName name="타부서_선택1" localSheetId="51">#REF!</definedName>
    <definedName name="타부서_선택1">#REF!</definedName>
    <definedName name="텐" localSheetId="52">BlankMacro1</definedName>
    <definedName name="텐" localSheetId="51">BlankMacro1</definedName>
    <definedName name="텐" localSheetId="58">BlankMacro1</definedName>
    <definedName name="텐" localSheetId="59">BlankMacro1</definedName>
    <definedName name="텐" localSheetId="1">BlankMacro1</definedName>
    <definedName name="텐">BlankMacro1</definedName>
    <definedName name="템1" localSheetId="52">BlankMacro1</definedName>
    <definedName name="템1" localSheetId="51">BlankMacro1</definedName>
    <definedName name="템1" localSheetId="58">BlankMacro1</definedName>
    <definedName name="템1" localSheetId="59">BlankMacro1</definedName>
    <definedName name="템1" localSheetId="1">BlankMacro1</definedName>
    <definedName name="템1">BlankMacro1</definedName>
    <definedName name="템플리트모듈1" localSheetId="52">BlankMacro1</definedName>
    <definedName name="템플리트모듈1" localSheetId="51">BlankMacro1</definedName>
    <definedName name="템플리트모듈1" localSheetId="58">BlankMacro1</definedName>
    <definedName name="템플리트모듈1" localSheetId="59">BlankMacro1</definedName>
    <definedName name="템플리트모듈1" localSheetId="1">BlankMacro1</definedName>
    <definedName name="템플리트모듈1">BlankMacro1</definedName>
    <definedName name="템플리트모듈2" localSheetId="52">BlankMacro1</definedName>
    <definedName name="템플리트모듈2" localSheetId="51">BlankMacro1</definedName>
    <definedName name="템플리트모듈2" localSheetId="58">BlankMacro1</definedName>
    <definedName name="템플리트모듈2" localSheetId="59">BlankMacro1</definedName>
    <definedName name="템플리트모듈2" localSheetId="1">BlankMacro1</definedName>
    <definedName name="템플리트모듈2">BlankMacro1</definedName>
    <definedName name="템플리트모듈3" localSheetId="52">BlankMacro1</definedName>
    <definedName name="템플리트모듈3" localSheetId="51">BlankMacro1</definedName>
    <definedName name="템플리트모듈3" localSheetId="58">BlankMacro1</definedName>
    <definedName name="템플리트모듈3" localSheetId="59">BlankMacro1</definedName>
    <definedName name="템플리트모듈3" localSheetId="1">BlankMacro1</definedName>
    <definedName name="템플리트모듈3">BlankMacro1</definedName>
    <definedName name="템플리트모듈4" localSheetId="52">BlankMacro1</definedName>
    <definedName name="템플리트모듈4" localSheetId="51">BlankMacro1</definedName>
    <definedName name="템플리트모듈4" localSheetId="58">BlankMacro1</definedName>
    <definedName name="템플리트모듈4" localSheetId="59">BlankMacro1</definedName>
    <definedName name="템플리트모듈4" localSheetId="1">BlankMacro1</definedName>
    <definedName name="템플리트모듈4">BlankMacro1</definedName>
    <definedName name="템플리트모듈5" localSheetId="52">BlankMacro1</definedName>
    <definedName name="템플리트모듈5" localSheetId="51">BlankMacro1</definedName>
    <definedName name="템플리트모듈5" localSheetId="58">BlankMacro1</definedName>
    <definedName name="템플리트모듈5" localSheetId="59">BlankMacro1</definedName>
    <definedName name="템플리트모듈5" localSheetId="1">BlankMacro1</definedName>
    <definedName name="템플리트모듈5">BlankMacro1</definedName>
    <definedName name="템플리트모듈6" localSheetId="52">BlankMacro1</definedName>
    <definedName name="템플리트모듈6" localSheetId="51">BlankMacro1</definedName>
    <definedName name="템플리트모듈6" localSheetId="58">BlankMacro1</definedName>
    <definedName name="템플리트모듈6" localSheetId="59">BlankMacro1</definedName>
    <definedName name="템플리트모듈6" localSheetId="1">BlankMacro1</definedName>
    <definedName name="템플리트모듈6">BlankMacro1</definedName>
    <definedName name="토">#N/A</definedName>
    <definedName name="토목변경" localSheetId="52" hidden="1">{"'장비'!$A$3:$M$12"}</definedName>
    <definedName name="토목변경" localSheetId="51" hidden="1">{"'장비'!$A$3:$M$12"}</definedName>
    <definedName name="토목변경" localSheetId="1" hidden="1">{"'장비'!$A$3:$M$12"}</definedName>
    <definedName name="토목변경" hidden="1">{"'장비'!$A$3:$M$12"}</definedName>
    <definedName name="토목실행예산" localSheetId="52" hidden="1">{"'장비'!$A$3:$M$12"}</definedName>
    <definedName name="토목실행예산" localSheetId="51" hidden="1">{"'장비'!$A$3:$M$12"}</definedName>
    <definedName name="토목실행예산" localSheetId="1" hidden="1">{"'장비'!$A$3:$M$12"}</definedName>
    <definedName name="토목실행예산" hidden="1">{"'장비'!$A$3:$M$12"}</definedName>
    <definedName name="토목조정분" localSheetId="52" hidden="1">{"'장비'!$A$3:$M$12"}</definedName>
    <definedName name="토목조정분" localSheetId="51" hidden="1">{"'장비'!$A$3:$M$12"}</definedName>
    <definedName name="토목조정분" localSheetId="1" hidden="1">{"'장비'!$A$3:$M$12"}</definedName>
    <definedName name="토목조정분" hidden="1">{"'장비'!$A$3:$M$12"}</definedName>
    <definedName name="토탈" localSheetId="51">#REF!</definedName>
    <definedName name="토탈">#REF!</definedName>
    <definedName name="특별_인부" localSheetId="51">#REF!</definedName>
    <definedName name="특별_인부">#REF!</definedName>
    <definedName name="표">#N/A</definedName>
    <definedName name="품셈단가표" localSheetId="51">#REF!</definedName>
    <definedName name="품셈단가표">#REF!</definedName>
    <definedName name="플">#N/A</definedName>
    <definedName name="ㅎㅎㄹ" localSheetId="52" hidden="1">{"Edition",#N/A,FALSE,"Data"}</definedName>
    <definedName name="ㅎㅎㄹ" localSheetId="51" hidden="1">{"Edition",#N/A,FALSE,"Data"}</definedName>
    <definedName name="ㅎㅎㄹ" localSheetId="1" hidden="1">{"Edition",#N/A,FALSE,"Data"}</definedName>
    <definedName name="ㅎㅎㄹ" hidden="1">{"Edition",#N/A,FALSE,"Data"}</definedName>
    <definedName name="할" localSheetId="52" hidden="1">{"'Sheet1'!$L$16"}</definedName>
    <definedName name="할" localSheetId="51" hidden="1">{"'Sheet1'!$L$16"}</definedName>
    <definedName name="할" localSheetId="1" hidden="1">{"'Sheet1'!$L$16"}</definedName>
    <definedName name="할" hidden="1">{"'Sheet1'!$L$16"}</definedName>
    <definedName name="항" localSheetId="52" hidden="1">{"'Sheet1'!$L$16"}</definedName>
    <definedName name="항" localSheetId="51" hidden="1">{"'Sheet1'!$L$16"}</definedName>
    <definedName name="항" localSheetId="1" hidden="1">{"'Sheet1'!$L$16"}</definedName>
    <definedName name="항" hidden="1">{"'Sheet1'!$L$16"}</definedName>
    <definedName name="환율" localSheetId="51">#REF!</definedName>
    <definedName name="환율">#REF!</definedName>
    <definedName name="후_담당간사에게_제출한다.">'[124]45,46'!#REF!</definedName>
    <definedName name="ㅏ1" localSheetId="52" hidden="1">#REF!</definedName>
    <definedName name="ㅏ1" localSheetId="51" hidden="1">#REF!</definedName>
    <definedName name="ㅏ1" localSheetId="1" hidden="1">#REF!</definedName>
    <definedName name="ㅏ1" hidden="1">#REF!</definedName>
    <definedName name="ㅐㅐ" localSheetId="51">#REF!</definedName>
    <definedName name="ㅐㅐ">#REF!</definedName>
    <definedName name="ㅐㅗㅅ" localSheetId="51">#REF!</definedName>
    <definedName name="ㅐㅗㅅ">#REF!</definedName>
    <definedName name="ㅑㅅ" localSheetId="52" hidden="1">{"'Sheet1'!$L$16"}</definedName>
    <definedName name="ㅑㅅ" localSheetId="51" hidden="1">{"'Sheet1'!$L$16"}</definedName>
    <definedName name="ㅑㅅ" localSheetId="1" hidden="1">{"'Sheet1'!$L$16"}</definedName>
    <definedName name="ㅑㅅ" hidden="1">{"'Sheet1'!$L$16"}</definedName>
    <definedName name="ㅘ" localSheetId="52" hidden="1">{"'Sheet1'!$L$16"}</definedName>
    <definedName name="ㅘ" localSheetId="51" hidden="1">{"'Sheet1'!$L$16"}</definedName>
    <definedName name="ㅘ" localSheetId="1" hidden="1">{"'Sheet1'!$L$16"}</definedName>
    <definedName name="ㅘ" hidden="1">{"'Sheet1'!$L$16"}</definedName>
    <definedName name="合____計">#N/A</definedName>
    <definedName name="完工工事_計">#N/A</definedName>
    <definedName name="新規工事_計">#N/A</definedName>
  </definedNames>
  <calcPr calcId="162913" iterate="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7" i="136" l="1"/>
  <c r="E6" i="136"/>
  <c r="D18" i="10" l="1"/>
  <c r="E10" i="97"/>
  <c r="F10" i="97"/>
  <c r="G10" i="97"/>
  <c r="M38" i="58" l="1"/>
  <c r="L38" i="58"/>
  <c r="K20" i="103" l="1"/>
  <c r="E19" i="96"/>
  <c r="K8" i="19"/>
  <c r="C16" i="96" s="1"/>
  <c r="B12" i="147"/>
  <c r="B13" i="147"/>
  <c r="B14" i="147"/>
  <c r="B15" i="147"/>
  <c r="B16" i="147"/>
  <c r="B17" i="147"/>
  <c r="B18" i="147"/>
  <c r="B19" i="147"/>
  <c r="B20" i="147"/>
  <c r="B21" i="147"/>
  <c r="B22" i="147"/>
  <c r="B23" i="147"/>
  <c r="B24" i="147"/>
  <c r="B25" i="147"/>
  <c r="B26" i="147"/>
  <c r="B27" i="147"/>
  <c r="B28" i="147"/>
  <c r="B29" i="147"/>
  <c r="B30" i="147"/>
  <c r="B31" i="147"/>
  <c r="B32" i="147"/>
  <c r="B33" i="147"/>
  <c r="B34" i="147"/>
  <c r="B35" i="147"/>
  <c r="B36" i="147"/>
  <c r="B37" i="147"/>
  <c r="B38" i="147"/>
  <c r="B39" i="147"/>
  <c r="B40" i="147"/>
  <c r="B41" i="147"/>
  <c r="B42" i="147"/>
  <c r="B43" i="147"/>
  <c r="B44" i="147"/>
  <c r="B45" i="147"/>
  <c r="B46" i="147"/>
  <c r="B47" i="147"/>
  <c r="B48" i="147"/>
  <c r="B49" i="147"/>
  <c r="B50" i="147"/>
  <c r="B51" i="147"/>
  <c r="B52" i="147"/>
  <c r="B53" i="147"/>
  <c r="B54" i="147"/>
  <c r="B55" i="147"/>
  <c r="B56" i="147"/>
  <c r="B57" i="147"/>
  <c r="B58" i="147"/>
  <c r="B59" i="147"/>
  <c r="B60" i="147"/>
  <c r="B61" i="147"/>
  <c r="B62" i="147"/>
  <c r="B63" i="147"/>
  <c r="B64" i="147"/>
  <c r="B65" i="147"/>
  <c r="B66" i="147"/>
  <c r="B67" i="147"/>
  <c r="B68" i="147"/>
  <c r="B69" i="147"/>
  <c r="B70" i="147"/>
  <c r="B71" i="147"/>
  <c r="B72" i="147"/>
  <c r="B73" i="147"/>
  <c r="B74" i="147"/>
  <c r="B75" i="147"/>
  <c r="B76" i="147"/>
  <c r="B77" i="147"/>
  <c r="B78" i="147"/>
  <c r="B79" i="147"/>
  <c r="B80" i="147"/>
  <c r="B81" i="147"/>
  <c r="B82" i="147"/>
  <c r="B83" i="147"/>
  <c r="B84" i="147"/>
  <c r="B85" i="147"/>
  <c r="B86" i="147"/>
  <c r="B87" i="147"/>
  <c r="B88" i="147"/>
  <c r="B89" i="147"/>
  <c r="B90" i="147"/>
  <c r="B91" i="147"/>
  <c r="B92" i="147"/>
  <c r="B93" i="147"/>
  <c r="B94" i="147"/>
  <c r="B95" i="147"/>
  <c r="B96" i="147"/>
  <c r="B97" i="147"/>
  <c r="B98" i="147"/>
  <c r="B99" i="147"/>
  <c r="B100" i="147"/>
  <c r="B101" i="147"/>
  <c r="B102" i="147"/>
  <c r="B103" i="147"/>
  <c r="B104" i="147"/>
  <c r="B105" i="147"/>
  <c r="B106" i="147"/>
  <c r="B107" i="147"/>
  <c r="B108" i="147"/>
  <c r="B109" i="147"/>
  <c r="B110" i="147"/>
  <c r="B111" i="147"/>
  <c r="B112" i="147"/>
  <c r="B113" i="147"/>
  <c r="B114" i="147"/>
  <c r="B115" i="147"/>
  <c r="B116" i="147"/>
  <c r="B117" i="147"/>
  <c r="B118" i="147"/>
  <c r="B119" i="147"/>
  <c r="B120" i="147"/>
  <c r="B121" i="147"/>
  <c r="B122" i="147"/>
  <c r="B123" i="147"/>
  <c r="B124" i="147"/>
  <c r="B125" i="147"/>
  <c r="B126" i="147"/>
  <c r="B127" i="147"/>
  <c r="B128" i="147"/>
  <c r="B129" i="147"/>
  <c r="B130" i="147"/>
  <c r="B131" i="147"/>
  <c r="B132" i="147"/>
  <c r="B133" i="147"/>
  <c r="B134" i="147"/>
  <c r="B135" i="147"/>
  <c r="B136" i="147"/>
  <c r="B137" i="147"/>
  <c r="B138" i="147"/>
  <c r="B139" i="147"/>
  <c r="B140" i="147"/>
  <c r="B141" i="147"/>
  <c r="B142" i="147"/>
  <c r="B143" i="147"/>
  <c r="B144" i="147"/>
  <c r="B145" i="147"/>
  <c r="B146" i="147"/>
  <c r="B5" i="147"/>
  <c r="B6" i="147"/>
  <c r="B7" i="147"/>
  <c r="B8" i="147"/>
  <c r="B9" i="147"/>
  <c r="B10" i="147"/>
  <c r="B11" i="147"/>
  <c r="B4" i="147"/>
  <c r="B3" i="147"/>
  <c r="Q25" i="2"/>
  <c r="C6" i="59"/>
  <c r="D6" i="59"/>
  <c r="E6" i="59"/>
  <c r="F6" i="59"/>
  <c r="D11" i="97"/>
  <c r="C24" i="33"/>
  <c r="D9" i="33" s="1"/>
  <c r="C25" i="33"/>
  <c r="D10" i="33"/>
  <c r="C26" i="33"/>
  <c r="D11" i="33" s="1"/>
  <c r="D26" i="33" s="1"/>
  <c r="E11" i="33" s="1"/>
  <c r="E26" i="33" s="1"/>
  <c r="F11" i="33" s="1"/>
  <c r="F26" i="33" s="1"/>
  <c r="G11" i="33" s="1"/>
  <c r="G26" i="33" s="1"/>
  <c r="D17" i="33"/>
  <c r="D22" i="33"/>
  <c r="E23" i="65"/>
  <c r="I23" i="65"/>
  <c r="D12" i="97"/>
  <c r="J23" i="65"/>
  <c r="E12" i="97" s="1"/>
  <c r="D25" i="33"/>
  <c r="E10" i="33" s="1"/>
  <c r="E25" i="33" s="1"/>
  <c r="F10" i="33" s="1"/>
  <c r="F25" i="33" s="1"/>
  <c r="G10" i="33" s="1"/>
  <c r="G25" i="33" s="1"/>
  <c r="E17" i="33"/>
  <c r="E22" i="33"/>
  <c r="K23" i="65"/>
  <c r="L23" i="65" s="1"/>
  <c r="G12" i="97" s="1"/>
  <c r="F17" i="33"/>
  <c r="F22" i="33"/>
  <c r="G17" i="33"/>
  <c r="G22" i="33"/>
  <c r="C13" i="97"/>
  <c r="D13" i="97"/>
  <c r="E13" i="97"/>
  <c r="F13" i="97"/>
  <c r="G13" i="97"/>
  <c r="E7" i="58"/>
  <c r="H7" i="58"/>
  <c r="E8" i="58"/>
  <c r="H8" i="58"/>
  <c r="H12" i="58"/>
  <c r="H17" i="58"/>
  <c r="H18" i="58"/>
  <c r="I15" i="2"/>
  <c r="D14" i="82" s="1"/>
  <c r="D7" i="58"/>
  <c r="D8" i="58"/>
  <c r="D12" i="58"/>
  <c r="D15" i="58"/>
  <c r="D17" i="58"/>
  <c r="D18" i="58"/>
  <c r="E15" i="2"/>
  <c r="C14" i="82" s="1"/>
  <c r="F6" i="135"/>
  <c r="F8" i="135" s="1"/>
  <c r="E6" i="135"/>
  <c r="G6" i="135"/>
  <c r="F7" i="135"/>
  <c r="E7" i="135"/>
  <c r="G7" i="135"/>
  <c r="H32" i="24"/>
  <c r="I32" i="24"/>
  <c r="J32" i="24"/>
  <c r="K32" i="24"/>
  <c r="J8" i="19"/>
  <c r="D10" i="10"/>
  <c r="D6" i="17"/>
  <c r="D7" i="17"/>
  <c r="D8" i="17"/>
  <c r="D9" i="17"/>
  <c r="D10" i="17"/>
  <c r="AC34" i="17" s="1"/>
  <c r="AD34" i="17" s="1"/>
  <c r="D11" i="17"/>
  <c r="D12" i="17"/>
  <c r="D13" i="17"/>
  <c r="AC37" i="17" s="1"/>
  <c r="AD37" i="17" s="1"/>
  <c r="D14" i="17"/>
  <c r="AC38" i="17" s="1"/>
  <c r="AD38" i="17" s="1"/>
  <c r="D15" i="17"/>
  <c r="E7" i="17"/>
  <c r="E9" i="17"/>
  <c r="E10" i="17"/>
  <c r="E11" i="17"/>
  <c r="E12" i="17"/>
  <c r="E13" i="17"/>
  <c r="E14" i="17"/>
  <c r="E15" i="17"/>
  <c r="H12" i="10"/>
  <c r="E21" i="17"/>
  <c r="E32" i="17" s="1"/>
  <c r="E35" i="17"/>
  <c r="E54" i="17"/>
  <c r="E55" i="17"/>
  <c r="I12" i="10"/>
  <c r="F33" i="17"/>
  <c r="AA31" i="17"/>
  <c r="AB31" i="17" s="1"/>
  <c r="AA32" i="17"/>
  <c r="AB32" i="17"/>
  <c r="AA33" i="17"/>
  <c r="AB33" i="17" s="1"/>
  <c r="AA34" i="17"/>
  <c r="AB34" i="17" s="1"/>
  <c r="AA35" i="17"/>
  <c r="AB35" i="17" s="1"/>
  <c r="AA36" i="17"/>
  <c r="AB36" i="17" s="1"/>
  <c r="AA37" i="17"/>
  <c r="AB37" i="17" s="1"/>
  <c r="AA38" i="17"/>
  <c r="AB38" i="17"/>
  <c r="AA39" i="17"/>
  <c r="AB39" i="17" s="1"/>
  <c r="F22" i="17"/>
  <c r="F35" i="17" s="1"/>
  <c r="F23" i="17"/>
  <c r="F37" i="17" s="1"/>
  <c r="F52" i="116" s="1"/>
  <c r="E17" i="116" s="1"/>
  <c r="AC31" i="17"/>
  <c r="AD31" i="17" s="1"/>
  <c r="AC32" i="17"/>
  <c r="AD32" i="17" s="1"/>
  <c r="AC33" i="17"/>
  <c r="AD33" i="17" s="1"/>
  <c r="AC35" i="17"/>
  <c r="AD35" i="17" s="1"/>
  <c r="AC36" i="17"/>
  <c r="AD36" i="17" s="1"/>
  <c r="AC39" i="17"/>
  <c r="AD39" i="17" s="1"/>
  <c r="D52" i="17"/>
  <c r="F48" i="17" s="1"/>
  <c r="L8" i="19"/>
  <c r="G22" i="17"/>
  <c r="G35" i="17" s="1"/>
  <c r="G23" i="17"/>
  <c r="G37" i="17" s="1"/>
  <c r="G52" i="116" s="1"/>
  <c r="I8" i="19"/>
  <c r="H6" i="96" s="1"/>
  <c r="G8" i="37"/>
  <c r="G9" i="37"/>
  <c r="G10" i="37"/>
  <c r="V10" i="37" s="1"/>
  <c r="G11" i="37"/>
  <c r="G18" i="37" s="1"/>
  <c r="G12" i="37"/>
  <c r="G13" i="37"/>
  <c r="G14" i="37"/>
  <c r="G15" i="37"/>
  <c r="V15" i="37" s="1"/>
  <c r="G16" i="37"/>
  <c r="G17" i="37"/>
  <c r="L8" i="37"/>
  <c r="L18" i="37" s="1"/>
  <c r="L9" i="37"/>
  <c r="L10" i="37"/>
  <c r="L11" i="37"/>
  <c r="L12" i="37"/>
  <c r="V12" i="37" s="1"/>
  <c r="L13" i="37"/>
  <c r="L14" i="37"/>
  <c r="L15" i="37"/>
  <c r="L16" i="37"/>
  <c r="V16" i="37" s="1"/>
  <c r="L17" i="37"/>
  <c r="Q12" i="37"/>
  <c r="Q18" i="37" s="1"/>
  <c r="Q13" i="37"/>
  <c r="D21" i="17"/>
  <c r="D32" i="17" s="1"/>
  <c r="D33" i="17"/>
  <c r="E36" i="137" s="1"/>
  <c r="D23" i="17"/>
  <c r="D37" i="17" s="1"/>
  <c r="I25" i="65"/>
  <c r="J25" i="65"/>
  <c r="K25" i="65" s="1"/>
  <c r="D21" i="116"/>
  <c r="D18" i="116"/>
  <c r="H15" i="24"/>
  <c r="F15" i="24"/>
  <c r="D15" i="24"/>
  <c r="N8" i="114"/>
  <c r="E9" i="114"/>
  <c r="H9" i="114"/>
  <c r="I9" i="114"/>
  <c r="J9" i="114"/>
  <c r="K9" i="114"/>
  <c r="C9" i="114"/>
  <c r="H6" i="113"/>
  <c r="H5" i="113"/>
  <c r="D5" i="113"/>
  <c r="D8" i="114" s="1"/>
  <c r="F8" i="114" s="1"/>
  <c r="F5" i="113"/>
  <c r="G8" i="114" s="1"/>
  <c r="M8" i="114" s="1"/>
  <c r="D6" i="113"/>
  <c r="D7" i="114" s="1"/>
  <c r="V14" i="37"/>
  <c r="V9" i="37"/>
  <c r="V17" i="37"/>
  <c r="V13" i="37"/>
  <c r="D12" i="113"/>
  <c r="D15" i="116"/>
  <c r="D11" i="113"/>
  <c r="D13" i="116"/>
  <c r="L6" i="12"/>
  <c r="L14" i="12" s="1"/>
  <c r="J6" i="12"/>
  <c r="J14" i="12" s="1"/>
  <c r="H6" i="12"/>
  <c r="H14" i="12" s="1"/>
  <c r="F6" i="12"/>
  <c r="F14" i="12" s="1"/>
  <c r="D6" i="12"/>
  <c r="H16" i="96"/>
  <c r="F16" i="96"/>
  <c r="E16" i="96"/>
  <c r="K6" i="96"/>
  <c r="I6" i="96"/>
  <c r="F6" i="96"/>
  <c r="E6" i="96"/>
  <c r="C6" i="96"/>
  <c r="D8" i="96"/>
  <c r="D11" i="96" s="1"/>
  <c r="G5" i="96" s="1"/>
  <c r="G8" i="96"/>
  <c r="H8" i="96" s="1"/>
  <c r="G18" i="96"/>
  <c r="H18" i="96" s="1"/>
  <c r="D18" i="96"/>
  <c r="J8" i="96"/>
  <c r="I8" i="96" s="1"/>
  <c r="H19" i="96"/>
  <c r="F19" i="96"/>
  <c r="K9" i="96"/>
  <c r="I9" i="96"/>
  <c r="H9" i="96"/>
  <c r="F9" i="96"/>
  <c r="D17" i="13"/>
  <c r="E17" i="13"/>
  <c r="F17" i="13"/>
  <c r="F18" i="13" s="1"/>
  <c r="M40" i="6"/>
  <c r="M39" i="6"/>
  <c r="L40" i="6"/>
  <c r="L39" i="6"/>
  <c r="F39" i="6"/>
  <c r="F40" i="6"/>
  <c r="F47" i="6"/>
  <c r="J40" i="6"/>
  <c r="J39" i="6"/>
  <c r="J47" i="6"/>
  <c r="M47" i="6"/>
  <c r="L47" i="6"/>
  <c r="I15" i="4"/>
  <c r="J15" i="4"/>
  <c r="K15" i="4"/>
  <c r="H15" i="4"/>
  <c r="D15" i="4"/>
  <c r="K39" i="6"/>
  <c r="I9" i="4"/>
  <c r="J9" i="4"/>
  <c r="J10" i="4"/>
  <c r="J17" i="4"/>
  <c r="K9" i="4"/>
  <c r="K10" i="4"/>
  <c r="H10" i="4"/>
  <c r="H9" i="4"/>
  <c r="D10" i="4"/>
  <c r="D9" i="4"/>
  <c r="K17" i="4"/>
  <c r="D17" i="4"/>
  <c r="E183" i="141"/>
  <c r="E183" i="142"/>
  <c r="E183" i="143"/>
  <c r="F60" i="141"/>
  <c r="F60" i="142"/>
  <c r="F60" i="143"/>
  <c r="F81" i="141"/>
  <c r="F81" i="142"/>
  <c r="F81" i="143"/>
  <c r="F113" i="141"/>
  <c r="F113" i="142"/>
  <c r="F113" i="143"/>
  <c r="D132" i="141"/>
  <c r="D132" i="142"/>
  <c r="D132" i="143"/>
  <c r="D148" i="141"/>
  <c r="D148" i="142"/>
  <c r="D148" i="143"/>
  <c r="D164" i="141"/>
  <c r="D164" i="142"/>
  <c r="D164" i="143"/>
  <c r="D180" i="141"/>
  <c r="D180" i="142"/>
  <c r="D180" i="143"/>
  <c r="D196" i="141"/>
  <c r="D196" i="142"/>
  <c r="D196" i="143"/>
  <c r="F11" i="141"/>
  <c r="F11" i="142"/>
  <c r="F11" i="143"/>
  <c r="F13" i="141"/>
  <c r="F13" i="142"/>
  <c r="F13" i="143"/>
  <c r="F15" i="141"/>
  <c r="F15" i="142"/>
  <c r="F15" i="143"/>
  <c r="F17" i="141"/>
  <c r="F17" i="142"/>
  <c r="F17" i="143"/>
  <c r="F19" i="141"/>
  <c r="F19" i="142"/>
  <c r="F19" i="143"/>
  <c r="F21" i="141"/>
  <c r="F21" i="142"/>
  <c r="F21" i="143"/>
  <c r="F23" i="141"/>
  <c r="F23" i="142"/>
  <c r="F23" i="143"/>
  <c r="F25" i="141"/>
  <c r="F25" i="142"/>
  <c r="F25" i="143"/>
  <c r="F27" i="141"/>
  <c r="F27" i="142"/>
  <c r="F27" i="143"/>
  <c r="F29" i="141"/>
  <c r="F29" i="142"/>
  <c r="F29" i="143"/>
  <c r="F31" i="141"/>
  <c r="F31" i="142"/>
  <c r="F31" i="143"/>
  <c r="F33" i="141"/>
  <c r="F33" i="142"/>
  <c r="F33" i="143"/>
  <c r="C35" i="141"/>
  <c r="C35" i="142"/>
  <c r="C35" i="143"/>
  <c r="C36" i="141"/>
  <c r="C36" i="142"/>
  <c r="C36" i="143"/>
  <c r="C37" i="141"/>
  <c r="C37" i="142"/>
  <c r="C37" i="143"/>
  <c r="C38" i="141"/>
  <c r="C38" i="142"/>
  <c r="C38" i="143"/>
  <c r="C39" i="141"/>
  <c r="C39" i="142"/>
  <c r="C39" i="143"/>
  <c r="C40" i="141"/>
  <c r="C40" i="142"/>
  <c r="C40" i="143"/>
  <c r="C41" i="141"/>
  <c r="C41" i="142"/>
  <c r="C41" i="143"/>
  <c r="C42" i="141"/>
  <c r="C42" i="142"/>
  <c r="C42" i="143"/>
  <c r="C43" i="141"/>
  <c r="C43" i="142"/>
  <c r="C43" i="143"/>
  <c r="C44" i="141"/>
  <c r="C44" i="142"/>
  <c r="C44" i="143"/>
  <c r="C45" i="141"/>
  <c r="C45" i="142"/>
  <c r="C45" i="143"/>
  <c r="C46" i="141"/>
  <c r="C46" i="142"/>
  <c r="C46" i="143"/>
  <c r="C47" i="141"/>
  <c r="C47" i="142"/>
  <c r="C47" i="143"/>
  <c r="C48" i="141"/>
  <c r="C48" i="142"/>
  <c r="C48" i="143"/>
  <c r="C49" i="141"/>
  <c r="C49" i="142"/>
  <c r="C49" i="143"/>
  <c r="C50" i="141"/>
  <c r="C50" i="142"/>
  <c r="C50" i="143"/>
  <c r="C51" i="141"/>
  <c r="C51" i="142"/>
  <c r="C51" i="143"/>
  <c r="C52" i="141"/>
  <c r="C52" i="142"/>
  <c r="C52" i="143"/>
  <c r="C53" i="141"/>
  <c r="C53" i="142"/>
  <c r="C53" i="143"/>
  <c r="D10" i="141"/>
  <c r="D10" i="142"/>
  <c r="D10" i="143"/>
  <c r="G209" i="141"/>
  <c r="G209" i="142"/>
  <c r="G209" i="143"/>
  <c r="G57" i="141"/>
  <c r="G57" i="142"/>
  <c r="G57" i="143"/>
  <c r="G59" i="141"/>
  <c r="G59" i="142"/>
  <c r="G59" i="143"/>
  <c r="G61" i="141"/>
  <c r="G61" i="142"/>
  <c r="G61" i="143"/>
  <c r="G63" i="141"/>
  <c r="G63" i="142"/>
  <c r="G63" i="143"/>
  <c r="G65" i="141"/>
  <c r="G65" i="142"/>
  <c r="G65" i="143"/>
  <c r="G67" i="141"/>
  <c r="G67" i="142"/>
  <c r="G67" i="143"/>
  <c r="G69" i="141"/>
  <c r="G69" i="142"/>
  <c r="G69" i="143"/>
  <c r="G71" i="141"/>
  <c r="G71" i="142"/>
  <c r="G71" i="143"/>
  <c r="G73" i="141"/>
  <c r="G73" i="142"/>
  <c r="G73" i="143"/>
  <c r="G75" i="141"/>
  <c r="G75" i="142"/>
  <c r="G75" i="143"/>
  <c r="G77" i="141"/>
  <c r="G77" i="142"/>
  <c r="G77" i="143"/>
  <c r="G79" i="141"/>
  <c r="G79" i="142"/>
  <c r="G79" i="143"/>
  <c r="G81" i="141"/>
  <c r="G81" i="142"/>
  <c r="G81" i="143"/>
  <c r="G83" i="141"/>
  <c r="G83" i="142"/>
  <c r="G83" i="143"/>
  <c r="G85" i="141"/>
  <c r="G85" i="142"/>
  <c r="G85" i="143"/>
  <c r="G87" i="141"/>
  <c r="G87" i="142"/>
  <c r="G87" i="143"/>
  <c r="G89" i="141"/>
  <c r="G89" i="142"/>
  <c r="G89" i="143"/>
  <c r="G91" i="141"/>
  <c r="G91" i="142"/>
  <c r="G91" i="143"/>
  <c r="G93" i="141"/>
  <c r="G93" i="142"/>
  <c r="G93" i="143"/>
  <c r="G95" i="141"/>
  <c r="G95" i="142"/>
  <c r="G95" i="143"/>
  <c r="G97" i="141"/>
  <c r="G97" i="142"/>
  <c r="G97" i="143"/>
  <c r="G99" i="141"/>
  <c r="G99" i="142"/>
  <c r="G99" i="143"/>
  <c r="G101" i="141"/>
  <c r="G101" i="142"/>
  <c r="G101" i="143"/>
  <c r="G103" i="141"/>
  <c r="G103" i="142"/>
  <c r="G103" i="143"/>
  <c r="G105" i="141"/>
  <c r="G105" i="142"/>
  <c r="G105" i="143"/>
  <c r="G107" i="141"/>
  <c r="G107" i="142"/>
  <c r="G107" i="143"/>
  <c r="G109" i="141"/>
  <c r="G109" i="142"/>
  <c r="G109" i="143"/>
  <c r="G111" i="141"/>
  <c r="G111" i="142"/>
  <c r="G111" i="143"/>
  <c r="G113" i="141"/>
  <c r="G113" i="142"/>
  <c r="G113" i="143"/>
  <c r="G115" i="141"/>
  <c r="G115" i="142"/>
  <c r="G115" i="143"/>
  <c r="G117" i="141"/>
  <c r="G117" i="142"/>
  <c r="G117" i="143"/>
  <c r="G119" i="141"/>
  <c r="G119" i="142"/>
  <c r="G119" i="143"/>
  <c r="G121" i="141"/>
  <c r="G121" i="142"/>
  <c r="G121" i="143"/>
  <c r="G123" i="141"/>
  <c r="G123" i="142"/>
  <c r="G123" i="143"/>
  <c r="G125" i="141"/>
  <c r="G125" i="142"/>
  <c r="G125" i="143"/>
  <c r="G127" i="141"/>
  <c r="G127" i="142"/>
  <c r="G127" i="143"/>
  <c r="G129" i="141"/>
  <c r="G129" i="142"/>
  <c r="G129" i="143"/>
  <c r="G131" i="141"/>
  <c r="G131" i="142"/>
  <c r="G131" i="143"/>
  <c r="G133" i="141"/>
  <c r="G133" i="142"/>
  <c r="G133" i="143"/>
  <c r="G135" i="141"/>
  <c r="G135" i="142"/>
  <c r="G135" i="143"/>
  <c r="G137" i="141"/>
  <c r="G137" i="142"/>
  <c r="G137" i="143"/>
  <c r="G139" i="141"/>
  <c r="G139" i="142"/>
  <c r="G139" i="143"/>
  <c r="G141" i="141"/>
  <c r="G141" i="142"/>
  <c r="G141" i="143"/>
  <c r="G143" i="141"/>
  <c r="G143" i="142"/>
  <c r="G143" i="143"/>
  <c r="G145" i="141"/>
  <c r="G145" i="142"/>
  <c r="G145" i="143"/>
  <c r="G147" i="141"/>
  <c r="G147" i="142"/>
  <c r="G147" i="143"/>
  <c r="G149" i="141"/>
  <c r="G149" i="142"/>
  <c r="G149" i="143"/>
  <c r="G151" i="141"/>
  <c r="G151" i="142"/>
  <c r="G151" i="143"/>
  <c r="G153" i="141"/>
  <c r="G153" i="142"/>
  <c r="G153" i="143"/>
  <c r="G155" i="141"/>
  <c r="G155" i="142"/>
  <c r="G155" i="143"/>
  <c r="G157" i="141"/>
  <c r="G157" i="142"/>
  <c r="G157" i="143"/>
  <c r="G159" i="141"/>
  <c r="G159" i="142"/>
  <c r="G159" i="143"/>
  <c r="G161" i="141"/>
  <c r="G161" i="142"/>
  <c r="G161" i="143"/>
  <c r="G163" i="141"/>
  <c r="G163" i="142"/>
  <c r="G163" i="143"/>
  <c r="G165" i="141"/>
  <c r="G165" i="142"/>
  <c r="G165" i="143"/>
  <c r="G167" i="141"/>
  <c r="G167" i="142"/>
  <c r="G167" i="143"/>
  <c r="G169" i="141"/>
  <c r="G169" i="142"/>
  <c r="G169" i="143"/>
  <c r="G171" i="141"/>
  <c r="G171" i="142"/>
  <c r="G171" i="143"/>
  <c r="G173" i="141"/>
  <c r="G173" i="142"/>
  <c r="G173" i="143"/>
  <c r="G175" i="141"/>
  <c r="G175" i="142"/>
  <c r="G175" i="143"/>
  <c r="G177" i="141"/>
  <c r="G177" i="142"/>
  <c r="G177" i="143"/>
  <c r="G179" i="141"/>
  <c r="G179" i="142"/>
  <c r="G179" i="143"/>
  <c r="G181" i="141"/>
  <c r="G181" i="142"/>
  <c r="G181" i="143"/>
  <c r="G183" i="141"/>
  <c r="G183" i="142"/>
  <c r="G183" i="143"/>
  <c r="G185" i="141"/>
  <c r="G185" i="142"/>
  <c r="G185" i="143"/>
  <c r="G187" i="141"/>
  <c r="G187" i="142"/>
  <c r="G187" i="143"/>
  <c r="G189" i="141"/>
  <c r="G189" i="142"/>
  <c r="G189" i="143"/>
  <c r="G191" i="141"/>
  <c r="G191" i="142"/>
  <c r="G191" i="143"/>
  <c r="G193" i="141"/>
  <c r="G193" i="142"/>
  <c r="G193" i="143"/>
  <c r="G195" i="141"/>
  <c r="G195" i="142"/>
  <c r="G195" i="143"/>
  <c r="G197" i="141"/>
  <c r="G197" i="142"/>
  <c r="G197" i="143"/>
  <c r="G199" i="141"/>
  <c r="G199" i="142"/>
  <c r="G199" i="143"/>
  <c r="G201" i="141"/>
  <c r="G201" i="142"/>
  <c r="G201" i="143"/>
  <c r="G203" i="141"/>
  <c r="G203" i="142"/>
  <c r="G203" i="143"/>
  <c r="G205" i="141"/>
  <c r="G205" i="142"/>
  <c r="G205" i="143"/>
  <c r="G207" i="141"/>
  <c r="G207" i="142"/>
  <c r="G207" i="143"/>
  <c r="H55" i="141"/>
  <c r="H55" i="142"/>
  <c r="H55" i="143"/>
  <c r="G12" i="141"/>
  <c r="G12" i="142"/>
  <c r="G12" i="143"/>
  <c r="G14" i="141"/>
  <c r="G14" i="142"/>
  <c r="G14" i="143"/>
  <c r="G16" i="141"/>
  <c r="G16" i="142"/>
  <c r="G16" i="143"/>
  <c r="G18" i="141"/>
  <c r="G18" i="142"/>
  <c r="G18" i="143"/>
  <c r="G20" i="141"/>
  <c r="G20" i="142"/>
  <c r="G20" i="143"/>
  <c r="G22" i="141"/>
  <c r="G22" i="142"/>
  <c r="G22" i="143"/>
  <c r="G24" i="141"/>
  <c r="G24" i="142"/>
  <c r="G24" i="143"/>
  <c r="G26" i="141"/>
  <c r="G26" i="142"/>
  <c r="G26" i="143"/>
  <c r="G28" i="141"/>
  <c r="G28" i="142"/>
  <c r="G28" i="143"/>
  <c r="G30" i="141"/>
  <c r="G30" i="142"/>
  <c r="G30" i="143"/>
  <c r="G32" i="141"/>
  <c r="G32" i="142"/>
  <c r="G32" i="143"/>
  <c r="G34" i="141"/>
  <c r="G34" i="142"/>
  <c r="G34" i="143"/>
  <c r="G36" i="141"/>
  <c r="G36" i="142"/>
  <c r="G36" i="143"/>
  <c r="G38" i="141"/>
  <c r="G38" i="142"/>
  <c r="G38" i="143"/>
  <c r="G40" i="141"/>
  <c r="G40" i="142"/>
  <c r="G40" i="143"/>
  <c r="G42" i="141"/>
  <c r="G42" i="142"/>
  <c r="G42" i="143"/>
  <c r="G44" i="141"/>
  <c r="G44" i="142"/>
  <c r="G44" i="143"/>
  <c r="G46" i="141"/>
  <c r="G46" i="142"/>
  <c r="G46" i="143"/>
  <c r="G48" i="141"/>
  <c r="G48" i="142"/>
  <c r="G48" i="143"/>
  <c r="G50" i="141"/>
  <c r="G50" i="142"/>
  <c r="G50" i="143"/>
  <c r="G52" i="141"/>
  <c r="G52" i="142"/>
  <c r="G52" i="143"/>
  <c r="H10" i="141"/>
  <c r="H10" i="142"/>
  <c r="H10" i="143"/>
  <c r="H211" i="142"/>
  <c r="H211" i="143"/>
  <c r="H210" i="142"/>
  <c r="H210" i="143"/>
  <c r="F209" i="142"/>
  <c r="F209" i="143"/>
  <c r="E209" i="142"/>
  <c r="E209" i="143"/>
  <c r="D209" i="142"/>
  <c r="D209" i="143"/>
  <c r="C209" i="142"/>
  <c r="C209" i="143"/>
  <c r="H211" i="141"/>
  <c r="H210" i="141"/>
  <c r="H209" i="141"/>
  <c r="H209" i="142"/>
  <c r="H209" i="143"/>
  <c r="F209" i="141"/>
  <c r="E209" i="141"/>
  <c r="D209" i="141"/>
  <c r="C209" i="141"/>
  <c r="H208" i="141"/>
  <c r="H208" i="142"/>
  <c r="H208" i="143"/>
  <c r="G208" i="141"/>
  <c r="G208" i="142"/>
  <c r="G208" i="143"/>
  <c r="F208" i="141"/>
  <c r="F208" i="142"/>
  <c r="F208" i="143"/>
  <c r="E208" i="141"/>
  <c r="E208" i="142"/>
  <c r="E208" i="143"/>
  <c r="D208" i="141"/>
  <c r="D208" i="142"/>
  <c r="D208" i="143"/>
  <c r="C208" i="141"/>
  <c r="C208" i="142"/>
  <c r="C208" i="143"/>
  <c r="H207" i="141"/>
  <c r="H207" i="142"/>
  <c r="H207" i="143"/>
  <c r="F207" i="141"/>
  <c r="F207" i="142"/>
  <c r="F207" i="143"/>
  <c r="E207" i="141"/>
  <c r="E207" i="142"/>
  <c r="E207" i="143"/>
  <c r="D207" i="141"/>
  <c r="D207" i="142"/>
  <c r="D207" i="143"/>
  <c r="C207" i="141"/>
  <c r="C207" i="142"/>
  <c r="C207" i="143"/>
  <c r="H206" i="141"/>
  <c r="H206" i="142"/>
  <c r="H206" i="143"/>
  <c r="G206" i="141"/>
  <c r="G206" i="142"/>
  <c r="G206" i="143"/>
  <c r="F206" i="141"/>
  <c r="F206" i="142"/>
  <c r="F206" i="143"/>
  <c r="E206" i="141"/>
  <c r="E206" i="142"/>
  <c r="E206" i="143"/>
  <c r="D206" i="141"/>
  <c r="D206" i="142"/>
  <c r="D206" i="143"/>
  <c r="C206" i="141"/>
  <c r="C206" i="142"/>
  <c r="C206" i="143"/>
  <c r="H205" i="141"/>
  <c r="H205" i="142"/>
  <c r="H205" i="143"/>
  <c r="F205" i="141"/>
  <c r="F205" i="142"/>
  <c r="F205" i="143"/>
  <c r="E205" i="141"/>
  <c r="E205" i="142"/>
  <c r="E205" i="143"/>
  <c r="D205" i="141"/>
  <c r="D205" i="142"/>
  <c r="D205" i="143"/>
  <c r="C205" i="141"/>
  <c r="C205" i="142"/>
  <c r="C205" i="143"/>
  <c r="H204" i="141"/>
  <c r="H204" i="142"/>
  <c r="H204" i="143"/>
  <c r="G204" i="141"/>
  <c r="G204" i="142"/>
  <c r="G204" i="143"/>
  <c r="F204" i="141"/>
  <c r="F204" i="142"/>
  <c r="F204" i="143"/>
  <c r="E204" i="141"/>
  <c r="E204" i="142"/>
  <c r="E204" i="143"/>
  <c r="D204" i="141"/>
  <c r="D204" i="142"/>
  <c r="D204" i="143"/>
  <c r="C204" i="141"/>
  <c r="C204" i="142"/>
  <c r="C204" i="143"/>
  <c r="H203" i="141"/>
  <c r="H203" i="142"/>
  <c r="H203" i="143"/>
  <c r="F203" i="141"/>
  <c r="F203" i="142"/>
  <c r="F203" i="143"/>
  <c r="E203" i="141"/>
  <c r="E203" i="142"/>
  <c r="E203" i="143"/>
  <c r="D203" i="141"/>
  <c r="D203" i="142"/>
  <c r="D203" i="143"/>
  <c r="C203" i="141"/>
  <c r="C203" i="142"/>
  <c r="C203" i="143"/>
  <c r="H202" i="141"/>
  <c r="H202" i="142"/>
  <c r="H202" i="143"/>
  <c r="G202" i="141"/>
  <c r="G202" i="142"/>
  <c r="G202" i="143"/>
  <c r="F202" i="141"/>
  <c r="F202" i="142"/>
  <c r="F202" i="143"/>
  <c r="E202" i="141"/>
  <c r="E202" i="142"/>
  <c r="E202" i="143"/>
  <c r="D202" i="141"/>
  <c r="D202" i="142"/>
  <c r="D202" i="143"/>
  <c r="C202" i="141"/>
  <c r="C202" i="142"/>
  <c r="C202" i="143"/>
  <c r="H201" i="141"/>
  <c r="H201" i="142"/>
  <c r="H201" i="143"/>
  <c r="F201" i="141"/>
  <c r="F201" i="142"/>
  <c r="F201" i="143"/>
  <c r="E201" i="141"/>
  <c r="E201" i="142"/>
  <c r="E201" i="143"/>
  <c r="D201" i="141"/>
  <c r="D201" i="142"/>
  <c r="D201" i="143"/>
  <c r="C201" i="141"/>
  <c r="C201" i="142"/>
  <c r="C201" i="143"/>
  <c r="H200" i="141"/>
  <c r="H200" i="142"/>
  <c r="H200" i="143"/>
  <c r="G200" i="141"/>
  <c r="G200" i="142"/>
  <c r="G200" i="143"/>
  <c r="F200" i="141"/>
  <c r="F200" i="142"/>
  <c r="F200" i="143"/>
  <c r="E200" i="141"/>
  <c r="E200" i="142"/>
  <c r="E200" i="143"/>
  <c r="D200" i="141"/>
  <c r="D200" i="142"/>
  <c r="D200" i="143"/>
  <c r="C200" i="141"/>
  <c r="C200" i="142"/>
  <c r="C200" i="143"/>
  <c r="H199" i="141"/>
  <c r="H199" i="142"/>
  <c r="H199" i="143"/>
  <c r="F199" i="141"/>
  <c r="F199" i="142"/>
  <c r="F199" i="143"/>
  <c r="E199" i="141"/>
  <c r="E199" i="142"/>
  <c r="E199" i="143"/>
  <c r="D199" i="141"/>
  <c r="D199" i="142"/>
  <c r="D199" i="143"/>
  <c r="C199" i="141"/>
  <c r="C199" i="142"/>
  <c r="C199" i="143"/>
  <c r="H198" i="141"/>
  <c r="H198" i="142"/>
  <c r="H198" i="143"/>
  <c r="G198" i="141"/>
  <c r="G198" i="142"/>
  <c r="G198" i="143"/>
  <c r="F198" i="141"/>
  <c r="F198" i="142"/>
  <c r="F198" i="143"/>
  <c r="E198" i="141"/>
  <c r="E198" i="142"/>
  <c r="E198" i="143"/>
  <c r="D198" i="141"/>
  <c r="D198" i="142"/>
  <c r="D198" i="143"/>
  <c r="C198" i="141"/>
  <c r="C198" i="142"/>
  <c r="C198" i="143"/>
  <c r="H197" i="141"/>
  <c r="H197" i="142"/>
  <c r="H197" i="143"/>
  <c r="F197" i="141"/>
  <c r="F197" i="142"/>
  <c r="F197" i="143"/>
  <c r="E197" i="141"/>
  <c r="E197" i="142"/>
  <c r="E197" i="143"/>
  <c r="D197" i="141"/>
  <c r="D197" i="142"/>
  <c r="D197" i="143"/>
  <c r="C197" i="141"/>
  <c r="C197" i="142"/>
  <c r="C197" i="143"/>
  <c r="H196" i="141"/>
  <c r="H196" i="142"/>
  <c r="H196" i="143"/>
  <c r="G196" i="141"/>
  <c r="G196" i="142"/>
  <c r="G196" i="143"/>
  <c r="F196" i="141"/>
  <c r="F196" i="142"/>
  <c r="F196" i="143"/>
  <c r="E196" i="141"/>
  <c r="E196" i="142"/>
  <c r="E196" i="143"/>
  <c r="C196" i="141"/>
  <c r="C196" i="142"/>
  <c r="C196" i="143"/>
  <c r="H195" i="141"/>
  <c r="H195" i="142"/>
  <c r="H195" i="143"/>
  <c r="F195" i="141"/>
  <c r="F195" i="142"/>
  <c r="F195" i="143"/>
  <c r="E195" i="141"/>
  <c r="E195" i="142"/>
  <c r="E195" i="143"/>
  <c r="D195" i="141"/>
  <c r="D195" i="142"/>
  <c r="D195" i="143"/>
  <c r="C195" i="141"/>
  <c r="C195" i="142"/>
  <c r="C195" i="143"/>
  <c r="H194" i="141"/>
  <c r="H194" i="142"/>
  <c r="H194" i="143"/>
  <c r="G194" i="141"/>
  <c r="G194" i="142"/>
  <c r="G194" i="143"/>
  <c r="F194" i="141"/>
  <c r="F194" i="142"/>
  <c r="F194" i="143"/>
  <c r="E194" i="141"/>
  <c r="E194" i="142"/>
  <c r="E194" i="143"/>
  <c r="D194" i="141"/>
  <c r="D194" i="142"/>
  <c r="D194" i="143"/>
  <c r="C194" i="141"/>
  <c r="C194" i="142"/>
  <c r="C194" i="143"/>
  <c r="H193" i="141"/>
  <c r="H193" i="142"/>
  <c r="H193" i="143"/>
  <c r="F193" i="141"/>
  <c r="F193" i="142"/>
  <c r="F193" i="143"/>
  <c r="E193" i="141"/>
  <c r="E193" i="142"/>
  <c r="E193" i="143"/>
  <c r="D193" i="141"/>
  <c r="D193" i="142"/>
  <c r="D193" i="143"/>
  <c r="C193" i="141"/>
  <c r="C193" i="142"/>
  <c r="C193" i="143"/>
  <c r="H192" i="141"/>
  <c r="H192" i="142"/>
  <c r="H192" i="143"/>
  <c r="G192" i="141"/>
  <c r="G192" i="142"/>
  <c r="G192" i="143"/>
  <c r="F192" i="141"/>
  <c r="F192" i="142"/>
  <c r="F192" i="143"/>
  <c r="E192" i="141"/>
  <c r="E192" i="142"/>
  <c r="E192" i="143"/>
  <c r="D192" i="141"/>
  <c r="D192" i="142"/>
  <c r="D192" i="143"/>
  <c r="C192" i="141"/>
  <c r="C192" i="142"/>
  <c r="C192" i="143"/>
  <c r="H191" i="141"/>
  <c r="H191" i="142"/>
  <c r="H191" i="143"/>
  <c r="F191" i="141"/>
  <c r="F191" i="142"/>
  <c r="F191" i="143"/>
  <c r="E191" i="141"/>
  <c r="E191" i="142"/>
  <c r="E191" i="143"/>
  <c r="D191" i="141"/>
  <c r="D191" i="142"/>
  <c r="D191" i="143"/>
  <c r="C191" i="141"/>
  <c r="C191" i="142"/>
  <c r="C191" i="143"/>
  <c r="H190" i="141"/>
  <c r="H190" i="142"/>
  <c r="H190" i="143"/>
  <c r="G190" i="141"/>
  <c r="G190" i="142"/>
  <c r="G190" i="143"/>
  <c r="F190" i="141"/>
  <c r="F190" i="142"/>
  <c r="F190" i="143"/>
  <c r="E190" i="141"/>
  <c r="E190" i="142"/>
  <c r="E190" i="143"/>
  <c r="D190" i="141"/>
  <c r="D190" i="142"/>
  <c r="D190" i="143"/>
  <c r="C190" i="141"/>
  <c r="C190" i="142"/>
  <c r="C190" i="143"/>
  <c r="H189" i="141"/>
  <c r="H189" i="142"/>
  <c r="H189" i="143"/>
  <c r="F189" i="141"/>
  <c r="F189" i="142"/>
  <c r="F189" i="143"/>
  <c r="E189" i="141"/>
  <c r="E189" i="142"/>
  <c r="E189" i="143"/>
  <c r="D189" i="141"/>
  <c r="D189" i="142"/>
  <c r="D189" i="143"/>
  <c r="C189" i="141"/>
  <c r="C189" i="142"/>
  <c r="C189" i="143"/>
  <c r="H188" i="141"/>
  <c r="H188" i="142"/>
  <c r="H188" i="143"/>
  <c r="G188" i="141"/>
  <c r="G188" i="142"/>
  <c r="G188" i="143"/>
  <c r="F188" i="141"/>
  <c r="F188" i="142"/>
  <c r="F188" i="143"/>
  <c r="E188" i="141"/>
  <c r="E188" i="142"/>
  <c r="E188" i="143"/>
  <c r="D188" i="141"/>
  <c r="D188" i="142"/>
  <c r="D188" i="143"/>
  <c r="C188" i="141"/>
  <c r="C188" i="142"/>
  <c r="C188" i="143"/>
  <c r="H187" i="141"/>
  <c r="H187" i="142"/>
  <c r="H187" i="143"/>
  <c r="F187" i="141"/>
  <c r="F187" i="142"/>
  <c r="F187" i="143"/>
  <c r="E187" i="141"/>
  <c r="E187" i="142"/>
  <c r="E187" i="143"/>
  <c r="D187" i="141"/>
  <c r="D187" i="142"/>
  <c r="D187" i="143"/>
  <c r="C187" i="141"/>
  <c r="C187" i="142"/>
  <c r="C187" i="143"/>
  <c r="H186" i="141"/>
  <c r="H186" i="142"/>
  <c r="H186" i="143"/>
  <c r="G186" i="141"/>
  <c r="G186" i="142"/>
  <c r="G186" i="143"/>
  <c r="F186" i="141"/>
  <c r="F186" i="142"/>
  <c r="F186" i="143"/>
  <c r="E186" i="141"/>
  <c r="E186" i="142"/>
  <c r="E186" i="143"/>
  <c r="D186" i="141"/>
  <c r="D186" i="142"/>
  <c r="D186" i="143"/>
  <c r="C186" i="141"/>
  <c r="C186" i="142"/>
  <c r="C186" i="143"/>
  <c r="H185" i="141"/>
  <c r="H185" i="142"/>
  <c r="H185" i="143"/>
  <c r="F185" i="141"/>
  <c r="F185" i="142"/>
  <c r="F185" i="143"/>
  <c r="E185" i="141"/>
  <c r="E185" i="142"/>
  <c r="E185" i="143"/>
  <c r="D185" i="141"/>
  <c r="D185" i="142"/>
  <c r="D185" i="143"/>
  <c r="C185" i="141"/>
  <c r="C185" i="142"/>
  <c r="C185" i="143"/>
  <c r="H184" i="141"/>
  <c r="H184" i="142"/>
  <c r="H184" i="143"/>
  <c r="G184" i="141"/>
  <c r="G184" i="142"/>
  <c r="G184" i="143"/>
  <c r="F184" i="141"/>
  <c r="F184" i="142"/>
  <c r="F184" i="143"/>
  <c r="E184" i="141"/>
  <c r="E184" i="142"/>
  <c r="E184" i="143"/>
  <c r="D184" i="141"/>
  <c r="D184" i="142"/>
  <c r="D184" i="143"/>
  <c r="C184" i="141"/>
  <c r="C184" i="142"/>
  <c r="C184" i="143"/>
  <c r="H183" i="141"/>
  <c r="H183" i="142"/>
  <c r="H183" i="143"/>
  <c r="F183" i="141"/>
  <c r="F183" i="142"/>
  <c r="F183" i="143"/>
  <c r="D183" i="141"/>
  <c r="D183" i="142"/>
  <c r="D183" i="143"/>
  <c r="C183" i="141"/>
  <c r="C183" i="142"/>
  <c r="C183" i="143"/>
  <c r="H182" i="141"/>
  <c r="H182" i="142"/>
  <c r="H182" i="143"/>
  <c r="G182" i="141"/>
  <c r="G182" i="142"/>
  <c r="G182" i="143"/>
  <c r="F182" i="141"/>
  <c r="F182" i="142"/>
  <c r="F182" i="143"/>
  <c r="E182" i="141"/>
  <c r="E182" i="142"/>
  <c r="E182" i="143"/>
  <c r="D182" i="141"/>
  <c r="D182" i="142"/>
  <c r="D182" i="143"/>
  <c r="C182" i="141"/>
  <c r="C182" i="142"/>
  <c r="C182" i="143"/>
  <c r="H181" i="141"/>
  <c r="H181" i="142"/>
  <c r="H181" i="143"/>
  <c r="F181" i="141"/>
  <c r="F181" i="142"/>
  <c r="F181" i="143"/>
  <c r="E181" i="141"/>
  <c r="E181" i="142"/>
  <c r="E181" i="143"/>
  <c r="D181" i="141"/>
  <c r="D181" i="142"/>
  <c r="D181" i="143"/>
  <c r="C181" i="141"/>
  <c r="C181" i="142"/>
  <c r="C181" i="143"/>
  <c r="H180" i="141"/>
  <c r="H180" i="142"/>
  <c r="H180" i="143"/>
  <c r="G180" i="141"/>
  <c r="G180" i="142"/>
  <c r="G180" i="143"/>
  <c r="F180" i="141"/>
  <c r="F180" i="142"/>
  <c r="F180" i="143"/>
  <c r="E180" i="141"/>
  <c r="E180" i="142"/>
  <c r="E180" i="143"/>
  <c r="C180" i="141"/>
  <c r="C180" i="142"/>
  <c r="C180" i="143"/>
  <c r="H179" i="141"/>
  <c r="H179" i="142"/>
  <c r="H179" i="143"/>
  <c r="F179" i="141"/>
  <c r="F179" i="142"/>
  <c r="F179" i="143"/>
  <c r="E179" i="141"/>
  <c r="E179" i="142"/>
  <c r="E179" i="143"/>
  <c r="D179" i="141"/>
  <c r="D179" i="142"/>
  <c r="D179" i="143"/>
  <c r="C179" i="141"/>
  <c r="C179" i="142"/>
  <c r="C179" i="143"/>
  <c r="H178" i="141"/>
  <c r="H178" i="142"/>
  <c r="H178" i="143"/>
  <c r="G178" i="141"/>
  <c r="G178" i="142"/>
  <c r="G178" i="143"/>
  <c r="F178" i="141"/>
  <c r="F178" i="142"/>
  <c r="F178" i="143"/>
  <c r="E178" i="141"/>
  <c r="E178" i="142"/>
  <c r="E178" i="143"/>
  <c r="D178" i="141"/>
  <c r="D178" i="142"/>
  <c r="D178" i="143"/>
  <c r="C178" i="141"/>
  <c r="C178" i="142"/>
  <c r="C178" i="143"/>
  <c r="H177" i="141"/>
  <c r="H177" i="142"/>
  <c r="H177" i="143"/>
  <c r="F177" i="141"/>
  <c r="F177" i="142"/>
  <c r="F177" i="143"/>
  <c r="E177" i="141"/>
  <c r="E177" i="142"/>
  <c r="E177" i="143"/>
  <c r="D177" i="141"/>
  <c r="D177" i="142"/>
  <c r="D177" i="143"/>
  <c r="C177" i="141"/>
  <c r="C177" i="142"/>
  <c r="C177" i="143"/>
  <c r="H176" i="141"/>
  <c r="H176" i="142"/>
  <c r="H176" i="143"/>
  <c r="G176" i="141"/>
  <c r="G176" i="142"/>
  <c r="G176" i="143"/>
  <c r="F176" i="141"/>
  <c r="F176" i="142"/>
  <c r="F176" i="143"/>
  <c r="E176" i="141"/>
  <c r="E176" i="142"/>
  <c r="E176" i="143"/>
  <c r="D176" i="141"/>
  <c r="D176" i="142"/>
  <c r="D176" i="143"/>
  <c r="C176" i="141"/>
  <c r="C176" i="142"/>
  <c r="C176" i="143"/>
  <c r="H175" i="141"/>
  <c r="H175" i="142"/>
  <c r="H175" i="143"/>
  <c r="F175" i="141"/>
  <c r="F175" i="142"/>
  <c r="F175" i="143"/>
  <c r="E175" i="141"/>
  <c r="E175" i="142"/>
  <c r="E175" i="143"/>
  <c r="D175" i="141"/>
  <c r="D175" i="142"/>
  <c r="D175" i="143"/>
  <c r="C175" i="141"/>
  <c r="C175" i="142"/>
  <c r="C175" i="143"/>
  <c r="H174" i="141"/>
  <c r="H174" i="142"/>
  <c r="H174" i="143"/>
  <c r="G174" i="141"/>
  <c r="G174" i="142"/>
  <c r="G174" i="143"/>
  <c r="F174" i="141"/>
  <c r="F174" i="142"/>
  <c r="F174" i="143"/>
  <c r="E174" i="141"/>
  <c r="E174" i="142"/>
  <c r="E174" i="143"/>
  <c r="D174" i="141"/>
  <c r="D174" i="142"/>
  <c r="D174" i="143"/>
  <c r="C174" i="141"/>
  <c r="C174" i="142"/>
  <c r="C174" i="143"/>
  <c r="H173" i="141"/>
  <c r="H173" i="142"/>
  <c r="H173" i="143"/>
  <c r="F173" i="141"/>
  <c r="F173" i="142"/>
  <c r="F173" i="143"/>
  <c r="E173" i="141"/>
  <c r="E173" i="142"/>
  <c r="E173" i="143"/>
  <c r="D173" i="141"/>
  <c r="D173" i="142"/>
  <c r="D173" i="143"/>
  <c r="C173" i="141"/>
  <c r="C173" i="142"/>
  <c r="C173" i="143"/>
  <c r="H172" i="141"/>
  <c r="H172" i="142"/>
  <c r="H172" i="143"/>
  <c r="G172" i="141"/>
  <c r="G172" i="142"/>
  <c r="G172" i="143"/>
  <c r="F172" i="141"/>
  <c r="F172" i="142"/>
  <c r="F172" i="143"/>
  <c r="E172" i="141"/>
  <c r="E172" i="142"/>
  <c r="E172" i="143"/>
  <c r="D172" i="141"/>
  <c r="D172" i="142"/>
  <c r="D172" i="143"/>
  <c r="C172" i="141"/>
  <c r="C172" i="142"/>
  <c r="C172" i="143"/>
  <c r="H171" i="141"/>
  <c r="H171" i="142"/>
  <c r="H171" i="143"/>
  <c r="F171" i="141"/>
  <c r="F171" i="142"/>
  <c r="F171" i="143"/>
  <c r="E171" i="141"/>
  <c r="E171" i="142"/>
  <c r="E171" i="143"/>
  <c r="D171" i="141"/>
  <c r="D171" i="142"/>
  <c r="D171" i="143"/>
  <c r="C171" i="141"/>
  <c r="C171" i="142"/>
  <c r="C171" i="143"/>
  <c r="H170" i="141"/>
  <c r="H170" i="142"/>
  <c r="H170" i="143"/>
  <c r="G170" i="141"/>
  <c r="G170" i="142"/>
  <c r="G170" i="143"/>
  <c r="F170" i="141"/>
  <c r="F170" i="142"/>
  <c r="F170" i="143"/>
  <c r="E170" i="141"/>
  <c r="E170" i="142"/>
  <c r="E170" i="143"/>
  <c r="D170" i="141"/>
  <c r="D170" i="142"/>
  <c r="D170" i="143"/>
  <c r="C170" i="141"/>
  <c r="C170" i="142"/>
  <c r="C170" i="143"/>
  <c r="H169" i="141"/>
  <c r="H169" i="142"/>
  <c r="H169" i="143"/>
  <c r="F169" i="141"/>
  <c r="F169" i="142"/>
  <c r="F169" i="143"/>
  <c r="E169" i="141"/>
  <c r="E169" i="142"/>
  <c r="E169" i="143"/>
  <c r="D169" i="141"/>
  <c r="D169" i="142"/>
  <c r="D169" i="143"/>
  <c r="C169" i="141"/>
  <c r="C169" i="142"/>
  <c r="C169" i="143"/>
  <c r="H168" i="141"/>
  <c r="H168" i="142"/>
  <c r="H168" i="143"/>
  <c r="G168" i="141"/>
  <c r="G168" i="142"/>
  <c r="G168" i="143"/>
  <c r="F168" i="141"/>
  <c r="F168" i="142"/>
  <c r="F168" i="143"/>
  <c r="E168" i="141"/>
  <c r="E168" i="142"/>
  <c r="E168" i="143"/>
  <c r="D168" i="141"/>
  <c r="D168" i="142"/>
  <c r="D168" i="143"/>
  <c r="C168" i="141"/>
  <c r="C168" i="142"/>
  <c r="C168" i="143"/>
  <c r="H167" i="141"/>
  <c r="H167" i="142"/>
  <c r="H167" i="143"/>
  <c r="F167" i="141"/>
  <c r="F167" i="142"/>
  <c r="F167" i="143"/>
  <c r="E167" i="141"/>
  <c r="E167" i="142"/>
  <c r="E167" i="143"/>
  <c r="D167" i="141"/>
  <c r="D167" i="142"/>
  <c r="D167" i="143"/>
  <c r="C167" i="141"/>
  <c r="C167" i="142"/>
  <c r="C167" i="143"/>
  <c r="H166" i="141"/>
  <c r="H166" i="142"/>
  <c r="H166" i="143"/>
  <c r="G166" i="141"/>
  <c r="G166" i="142"/>
  <c r="G166" i="143"/>
  <c r="F166" i="141"/>
  <c r="F166" i="142"/>
  <c r="F166" i="143"/>
  <c r="E166" i="141"/>
  <c r="E166" i="142"/>
  <c r="E166" i="143"/>
  <c r="D166" i="141"/>
  <c r="D166" i="142"/>
  <c r="D166" i="143"/>
  <c r="C166" i="141"/>
  <c r="C166" i="142"/>
  <c r="C166" i="143"/>
  <c r="H165" i="141"/>
  <c r="H165" i="142"/>
  <c r="H165" i="143"/>
  <c r="F165" i="141"/>
  <c r="F165" i="142"/>
  <c r="F165" i="143"/>
  <c r="E165" i="141"/>
  <c r="E165" i="142"/>
  <c r="E165" i="143"/>
  <c r="D165" i="141"/>
  <c r="D165" i="142"/>
  <c r="D165" i="143"/>
  <c r="C165" i="141"/>
  <c r="C165" i="142"/>
  <c r="C165" i="143"/>
  <c r="H164" i="141"/>
  <c r="H164" i="142"/>
  <c r="H164" i="143"/>
  <c r="G164" i="141"/>
  <c r="G164" i="142"/>
  <c r="G164" i="143"/>
  <c r="F164" i="141"/>
  <c r="F164" i="142"/>
  <c r="F164" i="143"/>
  <c r="E164" i="141"/>
  <c r="E164" i="142"/>
  <c r="E164" i="143"/>
  <c r="C164" i="141"/>
  <c r="C164" i="142"/>
  <c r="C164" i="143"/>
  <c r="H163" i="141"/>
  <c r="H163" i="142"/>
  <c r="H163" i="143"/>
  <c r="F163" i="141"/>
  <c r="F163" i="142"/>
  <c r="F163" i="143"/>
  <c r="E163" i="141"/>
  <c r="E163" i="142"/>
  <c r="E163" i="143"/>
  <c r="D163" i="141"/>
  <c r="D163" i="142"/>
  <c r="D163" i="143"/>
  <c r="C163" i="141"/>
  <c r="C163" i="142"/>
  <c r="C163" i="143"/>
  <c r="H162" i="141"/>
  <c r="H162" i="142"/>
  <c r="H162" i="143"/>
  <c r="G162" i="141"/>
  <c r="G162" i="142"/>
  <c r="G162" i="143"/>
  <c r="F162" i="141"/>
  <c r="F162" i="142"/>
  <c r="F162" i="143"/>
  <c r="E162" i="141"/>
  <c r="E162" i="142"/>
  <c r="E162" i="143"/>
  <c r="D162" i="141"/>
  <c r="D162" i="142"/>
  <c r="D162" i="143"/>
  <c r="C162" i="141"/>
  <c r="C162" i="142"/>
  <c r="C162" i="143"/>
  <c r="H161" i="141"/>
  <c r="H161" i="142"/>
  <c r="H161" i="143"/>
  <c r="F161" i="141"/>
  <c r="F161" i="142"/>
  <c r="F161" i="143"/>
  <c r="E161" i="141"/>
  <c r="E161" i="142"/>
  <c r="E161" i="143"/>
  <c r="D161" i="141"/>
  <c r="D161" i="142"/>
  <c r="D161" i="143"/>
  <c r="C161" i="141"/>
  <c r="C161" i="142"/>
  <c r="C161" i="143"/>
  <c r="H160" i="141"/>
  <c r="H160" i="142"/>
  <c r="H160" i="143"/>
  <c r="G160" i="141"/>
  <c r="G160" i="142"/>
  <c r="G160" i="143"/>
  <c r="F160" i="141"/>
  <c r="F160" i="142"/>
  <c r="F160" i="143"/>
  <c r="E160" i="141"/>
  <c r="E160" i="142"/>
  <c r="E160" i="143"/>
  <c r="D160" i="141"/>
  <c r="D160" i="142"/>
  <c r="D160" i="143"/>
  <c r="C160" i="141"/>
  <c r="C160" i="142"/>
  <c r="C160" i="143"/>
  <c r="H159" i="141"/>
  <c r="H159" i="142"/>
  <c r="H159" i="143"/>
  <c r="F159" i="141"/>
  <c r="F159" i="142"/>
  <c r="F159" i="143"/>
  <c r="E159" i="141"/>
  <c r="E159" i="142"/>
  <c r="E159" i="143"/>
  <c r="D159" i="141"/>
  <c r="D159" i="142"/>
  <c r="D159" i="143"/>
  <c r="C159" i="141"/>
  <c r="C159" i="142"/>
  <c r="C159" i="143"/>
  <c r="H158" i="141"/>
  <c r="H158" i="142"/>
  <c r="H158" i="143"/>
  <c r="G158" i="141"/>
  <c r="G158" i="142"/>
  <c r="G158" i="143"/>
  <c r="F158" i="141"/>
  <c r="F158" i="142"/>
  <c r="F158" i="143"/>
  <c r="E158" i="141"/>
  <c r="E158" i="142"/>
  <c r="E158" i="143"/>
  <c r="D158" i="141"/>
  <c r="D158" i="142"/>
  <c r="D158" i="143"/>
  <c r="C158" i="141"/>
  <c r="C158" i="142"/>
  <c r="C158" i="143"/>
  <c r="H157" i="141"/>
  <c r="H157" i="142"/>
  <c r="H157" i="143"/>
  <c r="F157" i="141"/>
  <c r="F157" i="142"/>
  <c r="F157" i="143"/>
  <c r="E157" i="141"/>
  <c r="E157" i="142"/>
  <c r="E157" i="143"/>
  <c r="D157" i="141"/>
  <c r="D157" i="142"/>
  <c r="D157" i="143"/>
  <c r="C157" i="141"/>
  <c r="C157" i="142"/>
  <c r="C157" i="143"/>
  <c r="H156" i="141"/>
  <c r="H156" i="142"/>
  <c r="H156" i="143"/>
  <c r="G156" i="141"/>
  <c r="G156" i="142"/>
  <c r="G156" i="143"/>
  <c r="F156" i="141"/>
  <c r="F156" i="142"/>
  <c r="F156" i="143"/>
  <c r="E156" i="141"/>
  <c r="E156" i="142"/>
  <c r="E156" i="143"/>
  <c r="D156" i="141"/>
  <c r="D156" i="142"/>
  <c r="D156" i="143"/>
  <c r="C156" i="141"/>
  <c r="C156" i="142"/>
  <c r="C156" i="143"/>
  <c r="H155" i="141"/>
  <c r="H155" i="142"/>
  <c r="H155" i="143"/>
  <c r="F155" i="141"/>
  <c r="F155" i="142"/>
  <c r="F155" i="143"/>
  <c r="E155" i="141"/>
  <c r="E155" i="142"/>
  <c r="E155" i="143"/>
  <c r="D155" i="141"/>
  <c r="D155" i="142"/>
  <c r="D155" i="143"/>
  <c r="C155" i="141"/>
  <c r="C155" i="142"/>
  <c r="C155" i="143"/>
  <c r="H154" i="141"/>
  <c r="H154" i="142"/>
  <c r="H154" i="143"/>
  <c r="G154" i="141"/>
  <c r="G154" i="142"/>
  <c r="G154" i="143"/>
  <c r="F154" i="141"/>
  <c r="F154" i="142"/>
  <c r="F154" i="143"/>
  <c r="E154" i="141"/>
  <c r="E154" i="142"/>
  <c r="E154" i="143"/>
  <c r="D154" i="141"/>
  <c r="D154" i="142"/>
  <c r="D154" i="143"/>
  <c r="C154" i="141"/>
  <c r="C154" i="142"/>
  <c r="C154" i="143"/>
  <c r="H153" i="141"/>
  <c r="H153" i="142"/>
  <c r="H153" i="143"/>
  <c r="F153" i="141"/>
  <c r="F153" i="142"/>
  <c r="F153" i="143"/>
  <c r="E153" i="141"/>
  <c r="E153" i="142"/>
  <c r="E153" i="143"/>
  <c r="D153" i="141"/>
  <c r="D153" i="142"/>
  <c r="D153" i="143"/>
  <c r="C153" i="141"/>
  <c r="C153" i="142"/>
  <c r="C153" i="143"/>
  <c r="H152" i="141"/>
  <c r="H152" i="142"/>
  <c r="H152" i="143"/>
  <c r="G152" i="141"/>
  <c r="G152" i="142"/>
  <c r="G152" i="143"/>
  <c r="F152" i="141"/>
  <c r="F152" i="142"/>
  <c r="F152" i="143"/>
  <c r="E152" i="141"/>
  <c r="E152" i="142"/>
  <c r="E152" i="143"/>
  <c r="D152" i="141"/>
  <c r="D152" i="142"/>
  <c r="D152" i="143"/>
  <c r="C152" i="141"/>
  <c r="C152" i="142"/>
  <c r="C152" i="143"/>
  <c r="H151" i="141"/>
  <c r="H151" i="142"/>
  <c r="H151" i="143"/>
  <c r="F151" i="141"/>
  <c r="F151" i="142"/>
  <c r="F151" i="143"/>
  <c r="E151" i="141"/>
  <c r="E151" i="142"/>
  <c r="E151" i="143"/>
  <c r="D151" i="141"/>
  <c r="D151" i="142"/>
  <c r="D151" i="143"/>
  <c r="C151" i="141"/>
  <c r="C151" i="142"/>
  <c r="C151" i="143"/>
  <c r="H150" i="141"/>
  <c r="H150" i="142"/>
  <c r="H150" i="143"/>
  <c r="G150" i="141"/>
  <c r="G150" i="142"/>
  <c r="G150" i="143"/>
  <c r="F150" i="141"/>
  <c r="F150" i="142"/>
  <c r="F150" i="143"/>
  <c r="E150" i="141"/>
  <c r="E150" i="142"/>
  <c r="E150" i="143"/>
  <c r="D150" i="141"/>
  <c r="D150" i="142"/>
  <c r="D150" i="143"/>
  <c r="C150" i="141"/>
  <c r="C150" i="142"/>
  <c r="C150" i="143"/>
  <c r="H149" i="141"/>
  <c r="H149" i="142"/>
  <c r="H149" i="143"/>
  <c r="F149" i="141"/>
  <c r="F149" i="142"/>
  <c r="F149" i="143"/>
  <c r="E149" i="141"/>
  <c r="E149" i="142"/>
  <c r="E149" i="143"/>
  <c r="D149" i="141"/>
  <c r="D149" i="142"/>
  <c r="D149" i="143"/>
  <c r="C149" i="141"/>
  <c r="C149" i="142"/>
  <c r="C149" i="143"/>
  <c r="H148" i="141"/>
  <c r="H148" i="142"/>
  <c r="H148" i="143"/>
  <c r="G148" i="141"/>
  <c r="G148" i="142"/>
  <c r="G148" i="143"/>
  <c r="F148" i="141"/>
  <c r="F148" i="142"/>
  <c r="F148" i="143"/>
  <c r="E148" i="141"/>
  <c r="E148" i="142"/>
  <c r="E148" i="143"/>
  <c r="C148" i="141"/>
  <c r="C148" i="142"/>
  <c r="C148" i="143"/>
  <c r="H147" i="141"/>
  <c r="H147" i="142"/>
  <c r="H147" i="143"/>
  <c r="F147" i="141"/>
  <c r="F147" i="142"/>
  <c r="F147" i="143"/>
  <c r="E147" i="141"/>
  <c r="E147" i="142"/>
  <c r="E147" i="143"/>
  <c r="D147" i="141"/>
  <c r="D147" i="142"/>
  <c r="D147" i="143"/>
  <c r="C147" i="141"/>
  <c r="C147" i="142"/>
  <c r="C147" i="143"/>
  <c r="H146" i="141"/>
  <c r="H146" i="142"/>
  <c r="H146" i="143"/>
  <c r="G146" i="141"/>
  <c r="G146" i="142"/>
  <c r="G146" i="143"/>
  <c r="F146" i="141"/>
  <c r="F146" i="142"/>
  <c r="F146" i="143"/>
  <c r="E146" i="141"/>
  <c r="E146" i="142"/>
  <c r="E146" i="143"/>
  <c r="D146" i="141"/>
  <c r="D146" i="142"/>
  <c r="D146" i="143"/>
  <c r="C146" i="141"/>
  <c r="C146" i="142"/>
  <c r="C146" i="143"/>
  <c r="H145" i="141"/>
  <c r="H145" i="142"/>
  <c r="H145" i="143"/>
  <c r="F145" i="141"/>
  <c r="F145" i="142"/>
  <c r="F145" i="143"/>
  <c r="E145" i="141"/>
  <c r="E145" i="142"/>
  <c r="E145" i="143"/>
  <c r="D145" i="141"/>
  <c r="D145" i="142"/>
  <c r="D145" i="143"/>
  <c r="C145" i="141"/>
  <c r="C145" i="142"/>
  <c r="C145" i="143"/>
  <c r="H144" i="141"/>
  <c r="H144" i="142"/>
  <c r="H144" i="143"/>
  <c r="G144" i="141"/>
  <c r="G144" i="142"/>
  <c r="G144" i="143"/>
  <c r="F144" i="141"/>
  <c r="F144" i="142"/>
  <c r="F144" i="143"/>
  <c r="E144" i="141"/>
  <c r="E144" i="142"/>
  <c r="E144" i="143"/>
  <c r="D144" i="141"/>
  <c r="D144" i="142"/>
  <c r="D144" i="143"/>
  <c r="C144" i="141"/>
  <c r="C144" i="142"/>
  <c r="C144" i="143"/>
  <c r="H143" i="141"/>
  <c r="H143" i="142"/>
  <c r="H143" i="143"/>
  <c r="F143" i="141"/>
  <c r="F143" i="142"/>
  <c r="F143" i="143"/>
  <c r="E143" i="141"/>
  <c r="E143" i="142"/>
  <c r="E143" i="143"/>
  <c r="D143" i="141"/>
  <c r="D143" i="142"/>
  <c r="D143" i="143"/>
  <c r="C143" i="141"/>
  <c r="C143" i="142"/>
  <c r="C143" i="143"/>
  <c r="H142" i="141"/>
  <c r="H142" i="142"/>
  <c r="H142" i="143"/>
  <c r="G142" i="141"/>
  <c r="G142" i="142"/>
  <c r="G142" i="143"/>
  <c r="F142" i="141"/>
  <c r="F142" i="142"/>
  <c r="F142" i="143"/>
  <c r="E142" i="141"/>
  <c r="E142" i="142"/>
  <c r="E142" i="143"/>
  <c r="D142" i="141"/>
  <c r="D142" i="142"/>
  <c r="D142" i="143"/>
  <c r="C142" i="141"/>
  <c r="C142" i="142"/>
  <c r="C142" i="143"/>
  <c r="H141" i="141"/>
  <c r="H141" i="142"/>
  <c r="H141" i="143"/>
  <c r="F141" i="141"/>
  <c r="F141" i="142"/>
  <c r="F141" i="143"/>
  <c r="E141" i="141"/>
  <c r="E141" i="142"/>
  <c r="E141" i="143"/>
  <c r="D141" i="141"/>
  <c r="D141" i="142"/>
  <c r="D141" i="143"/>
  <c r="C141" i="141"/>
  <c r="C141" i="142"/>
  <c r="C141" i="143"/>
  <c r="H140" i="141"/>
  <c r="H140" i="142"/>
  <c r="H140" i="143"/>
  <c r="G140" i="141"/>
  <c r="G140" i="142"/>
  <c r="G140" i="143"/>
  <c r="F140" i="141"/>
  <c r="F140" i="142"/>
  <c r="F140" i="143"/>
  <c r="E140" i="141"/>
  <c r="E140" i="142"/>
  <c r="E140" i="143"/>
  <c r="D140" i="141"/>
  <c r="D140" i="142"/>
  <c r="D140" i="143"/>
  <c r="C140" i="141"/>
  <c r="C140" i="142"/>
  <c r="C140" i="143"/>
  <c r="H139" i="141"/>
  <c r="H139" i="142"/>
  <c r="H139" i="143"/>
  <c r="F139" i="141"/>
  <c r="F139" i="142"/>
  <c r="F139" i="143"/>
  <c r="E139" i="141"/>
  <c r="E139" i="142"/>
  <c r="E139" i="143"/>
  <c r="D139" i="141"/>
  <c r="D139" i="142"/>
  <c r="D139" i="143"/>
  <c r="C139" i="141"/>
  <c r="C139" i="142"/>
  <c r="C139" i="143"/>
  <c r="H138" i="141"/>
  <c r="H138" i="142"/>
  <c r="H138" i="143"/>
  <c r="G138" i="141"/>
  <c r="G138" i="142"/>
  <c r="G138" i="143"/>
  <c r="F138" i="141"/>
  <c r="F138" i="142"/>
  <c r="F138" i="143"/>
  <c r="E138" i="141"/>
  <c r="E138" i="142"/>
  <c r="E138" i="143"/>
  <c r="D138" i="141"/>
  <c r="D138" i="142"/>
  <c r="D138" i="143"/>
  <c r="C138" i="141"/>
  <c r="C138" i="142"/>
  <c r="C138" i="143"/>
  <c r="H137" i="141"/>
  <c r="H137" i="142"/>
  <c r="H137" i="143"/>
  <c r="F137" i="141"/>
  <c r="F137" i="142"/>
  <c r="F137" i="143"/>
  <c r="E137" i="141"/>
  <c r="E137" i="142"/>
  <c r="E137" i="143"/>
  <c r="D137" i="141"/>
  <c r="D137" i="142"/>
  <c r="D137" i="143"/>
  <c r="C137" i="141"/>
  <c r="C137" i="142"/>
  <c r="C137" i="143"/>
  <c r="H136" i="141"/>
  <c r="H136" i="142"/>
  <c r="H136" i="143"/>
  <c r="G136" i="141"/>
  <c r="G136" i="142"/>
  <c r="G136" i="143"/>
  <c r="F136" i="141"/>
  <c r="F136" i="142"/>
  <c r="F136" i="143"/>
  <c r="E136" i="141"/>
  <c r="E136" i="142"/>
  <c r="E136" i="143"/>
  <c r="D136" i="141"/>
  <c r="D136" i="142"/>
  <c r="D136" i="143"/>
  <c r="C136" i="141"/>
  <c r="C136" i="142"/>
  <c r="C136" i="143"/>
  <c r="H135" i="141"/>
  <c r="H135" i="142"/>
  <c r="H135" i="143"/>
  <c r="F135" i="141"/>
  <c r="F135" i="142"/>
  <c r="F135" i="143"/>
  <c r="E135" i="141"/>
  <c r="E135" i="142"/>
  <c r="E135" i="143"/>
  <c r="D135" i="141"/>
  <c r="D135" i="142"/>
  <c r="D135" i="143"/>
  <c r="C135" i="141"/>
  <c r="C135" i="142"/>
  <c r="C135" i="143"/>
  <c r="H134" i="141"/>
  <c r="H134" i="142"/>
  <c r="H134" i="143"/>
  <c r="G134" i="141"/>
  <c r="G134" i="142"/>
  <c r="G134" i="143"/>
  <c r="F134" i="141"/>
  <c r="F134" i="142"/>
  <c r="F134" i="143"/>
  <c r="E134" i="141"/>
  <c r="E134" i="142"/>
  <c r="E134" i="143"/>
  <c r="D134" i="141"/>
  <c r="D134" i="142"/>
  <c r="D134" i="143"/>
  <c r="C134" i="141"/>
  <c r="C134" i="142"/>
  <c r="C134" i="143"/>
  <c r="H133" i="141"/>
  <c r="H133" i="142"/>
  <c r="H133" i="143"/>
  <c r="F133" i="141"/>
  <c r="F133" i="142"/>
  <c r="F133" i="143"/>
  <c r="E133" i="141"/>
  <c r="E133" i="142"/>
  <c r="E133" i="143"/>
  <c r="D133" i="141"/>
  <c r="D133" i="142"/>
  <c r="D133" i="143"/>
  <c r="C133" i="141"/>
  <c r="C133" i="142"/>
  <c r="C133" i="143"/>
  <c r="H132" i="141"/>
  <c r="H132" i="142"/>
  <c r="H132" i="143"/>
  <c r="G132" i="141"/>
  <c r="G132" i="142"/>
  <c r="G132" i="143"/>
  <c r="F132" i="141"/>
  <c r="F132" i="142"/>
  <c r="F132" i="143"/>
  <c r="E132" i="141"/>
  <c r="E132" i="142"/>
  <c r="E132" i="143"/>
  <c r="C132" i="141"/>
  <c r="C132" i="142"/>
  <c r="C132" i="143"/>
  <c r="H131" i="141"/>
  <c r="H131" i="142"/>
  <c r="H131" i="143"/>
  <c r="F131" i="141"/>
  <c r="F131" i="142"/>
  <c r="F131" i="143"/>
  <c r="E131" i="141"/>
  <c r="E131" i="142"/>
  <c r="E131" i="143"/>
  <c r="D131" i="141"/>
  <c r="D131" i="142"/>
  <c r="D131" i="143"/>
  <c r="C131" i="141"/>
  <c r="C131" i="142"/>
  <c r="C131" i="143"/>
  <c r="H130" i="141"/>
  <c r="H130" i="142"/>
  <c r="H130" i="143"/>
  <c r="G130" i="141"/>
  <c r="G130" i="142"/>
  <c r="G130" i="143"/>
  <c r="F130" i="141"/>
  <c r="F130" i="142"/>
  <c r="F130" i="143"/>
  <c r="E130" i="141"/>
  <c r="E130" i="142"/>
  <c r="E130" i="143"/>
  <c r="D130" i="141"/>
  <c r="D130" i="142"/>
  <c r="D130" i="143"/>
  <c r="C130" i="141"/>
  <c r="C130" i="142"/>
  <c r="C130" i="143"/>
  <c r="H129" i="141"/>
  <c r="H129" i="142"/>
  <c r="H129" i="143"/>
  <c r="F129" i="141"/>
  <c r="F129" i="142"/>
  <c r="F129" i="143"/>
  <c r="E129" i="141"/>
  <c r="E129" i="142"/>
  <c r="E129" i="143"/>
  <c r="D129" i="141"/>
  <c r="D129" i="142"/>
  <c r="D129" i="143"/>
  <c r="C129" i="141"/>
  <c r="C129" i="142"/>
  <c r="C129" i="143"/>
  <c r="H128" i="141"/>
  <c r="H128" i="142"/>
  <c r="H128" i="143"/>
  <c r="G128" i="141"/>
  <c r="G128" i="142"/>
  <c r="G128" i="143"/>
  <c r="F128" i="141"/>
  <c r="F128" i="142"/>
  <c r="F128" i="143"/>
  <c r="E128" i="141"/>
  <c r="E128" i="142"/>
  <c r="E128" i="143"/>
  <c r="D128" i="141"/>
  <c r="D128" i="142"/>
  <c r="D128" i="143"/>
  <c r="C128" i="141"/>
  <c r="C128" i="142"/>
  <c r="C128" i="143"/>
  <c r="H127" i="141"/>
  <c r="H127" i="142"/>
  <c r="H127" i="143"/>
  <c r="F127" i="141"/>
  <c r="F127" i="142"/>
  <c r="F127" i="143"/>
  <c r="E127" i="141"/>
  <c r="E127" i="142"/>
  <c r="E127" i="143"/>
  <c r="D127" i="141"/>
  <c r="D127" i="142"/>
  <c r="D127" i="143"/>
  <c r="C127" i="141"/>
  <c r="C127" i="142"/>
  <c r="C127" i="143"/>
  <c r="H126" i="141"/>
  <c r="H126" i="142"/>
  <c r="H126" i="143"/>
  <c r="G126" i="141"/>
  <c r="G126" i="142"/>
  <c r="G126" i="143"/>
  <c r="F126" i="141"/>
  <c r="F126" i="142"/>
  <c r="F126" i="143"/>
  <c r="E126" i="141"/>
  <c r="E126" i="142"/>
  <c r="E126" i="143"/>
  <c r="D126" i="141"/>
  <c r="D126" i="142"/>
  <c r="D126" i="143"/>
  <c r="C126" i="141"/>
  <c r="C126" i="142"/>
  <c r="C126" i="143"/>
  <c r="H125" i="141"/>
  <c r="H125" i="142"/>
  <c r="H125" i="143"/>
  <c r="F125" i="141"/>
  <c r="F125" i="142"/>
  <c r="F125" i="143"/>
  <c r="E125" i="141"/>
  <c r="E125" i="142"/>
  <c r="E125" i="143"/>
  <c r="D125" i="141"/>
  <c r="D125" i="142"/>
  <c r="D125" i="143"/>
  <c r="C125" i="141"/>
  <c r="C125" i="142"/>
  <c r="C125" i="143"/>
  <c r="H124" i="141"/>
  <c r="H124" i="142"/>
  <c r="H124" i="143"/>
  <c r="G124" i="141"/>
  <c r="G124" i="142"/>
  <c r="G124" i="143"/>
  <c r="F124" i="141"/>
  <c r="F124" i="142"/>
  <c r="F124" i="143"/>
  <c r="E124" i="141"/>
  <c r="E124" i="142"/>
  <c r="E124" i="143"/>
  <c r="D124" i="141"/>
  <c r="D124" i="142"/>
  <c r="D124" i="143"/>
  <c r="C124" i="141"/>
  <c r="C124" i="142"/>
  <c r="C124" i="143"/>
  <c r="H123" i="141"/>
  <c r="H123" i="142"/>
  <c r="H123" i="143"/>
  <c r="F123" i="141"/>
  <c r="F123" i="142"/>
  <c r="F123" i="143"/>
  <c r="E123" i="141"/>
  <c r="E123" i="142"/>
  <c r="E123" i="143"/>
  <c r="D123" i="141"/>
  <c r="D123" i="142"/>
  <c r="D123" i="143"/>
  <c r="C123" i="141"/>
  <c r="C123" i="142"/>
  <c r="C123" i="143"/>
  <c r="H122" i="141"/>
  <c r="H122" i="142"/>
  <c r="H122" i="143"/>
  <c r="G122" i="141"/>
  <c r="G122" i="142"/>
  <c r="G122" i="143"/>
  <c r="F122" i="141"/>
  <c r="F122" i="142"/>
  <c r="F122" i="143"/>
  <c r="E122" i="141"/>
  <c r="E122" i="142"/>
  <c r="E122" i="143"/>
  <c r="D122" i="141"/>
  <c r="D122" i="142"/>
  <c r="D122" i="143"/>
  <c r="C122" i="141"/>
  <c r="C122" i="142"/>
  <c r="C122" i="143"/>
  <c r="H121" i="141"/>
  <c r="H121" i="142"/>
  <c r="H121" i="143"/>
  <c r="F121" i="141"/>
  <c r="F121" i="142"/>
  <c r="F121" i="143"/>
  <c r="E121" i="141"/>
  <c r="E121" i="142"/>
  <c r="E121" i="143"/>
  <c r="D121" i="141"/>
  <c r="D121" i="142"/>
  <c r="D121" i="143"/>
  <c r="C121" i="141"/>
  <c r="C121" i="142"/>
  <c r="C121" i="143"/>
  <c r="H120" i="141"/>
  <c r="H120" i="142"/>
  <c r="H120" i="143"/>
  <c r="G120" i="141"/>
  <c r="G120" i="142"/>
  <c r="G120" i="143"/>
  <c r="F120" i="141"/>
  <c r="F120" i="142"/>
  <c r="F120" i="143"/>
  <c r="E120" i="141"/>
  <c r="E120" i="142"/>
  <c r="E120" i="143"/>
  <c r="D120" i="141"/>
  <c r="D120" i="142"/>
  <c r="D120" i="143"/>
  <c r="C120" i="141"/>
  <c r="C120" i="142"/>
  <c r="C120" i="143"/>
  <c r="H119" i="141"/>
  <c r="H119" i="142"/>
  <c r="H119" i="143"/>
  <c r="F119" i="141"/>
  <c r="F119" i="142"/>
  <c r="F119" i="143"/>
  <c r="E119" i="141"/>
  <c r="E119" i="142"/>
  <c r="E119" i="143"/>
  <c r="D119" i="141"/>
  <c r="D119" i="142"/>
  <c r="D119" i="143"/>
  <c r="C119" i="141"/>
  <c r="C119" i="142"/>
  <c r="C119" i="143"/>
  <c r="H118" i="141"/>
  <c r="H118" i="142"/>
  <c r="H118" i="143"/>
  <c r="G118" i="141"/>
  <c r="G118" i="142"/>
  <c r="G118" i="143"/>
  <c r="F118" i="141"/>
  <c r="F118" i="142"/>
  <c r="F118" i="143"/>
  <c r="E118" i="141"/>
  <c r="E118" i="142"/>
  <c r="E118" i="143"/>
  <c r="D118" i="141"/>
  <c r="D118" i="142"/>
  <c r="D118" i="143"/>
  <c r="C118" i="141"/>
  <c r="C118" i="142"/>
  <c r="C118" i="143"/>
  <c r="H117" i="141"/>
  <c r="H117" i="142"/>
  <c r="H117" i="143"/>
  <c r="F117" i="141"/>
  <c r="F117" i="142"/>
  <c r="F117" i="143"/>
  <c r="E117" i="141"/>
  <c r="E117" i="142"/>
  <c r="E117" i="143"/>
  <c r="D117" i="141"/>
  <c r="D117" i="142"/>
  <c r="D117" i="143"/>
  <c r="C117" i="141"/>
  <c r="C117" i="142"/>
  <c r="C117" i="143"/>
  <c r="H116" i="141"/>
  <c r="H116" i="142"/>
  <c r="H116" i="143"/>
  <c r="G116" i="141"/>
  <c r="G116" i="142"/>
  <c r="G116" i="143"/>
  <c r="F116" i="141"/>
  <c r="F116" i="142"/>
  <c r="F116" i="143"/>
  <c r="E116" i="141"/>
  <c r="E116" i="142"/>
  <c r="E116" i="143"/>
  <c r="D116" i="141"/>
  <c r="D116" i="142"/>
  <c r="D116" i="143"/>
  <c r="C116" i="141"/>
  <c r="C116" i="142"/>
  <c r="C116" i="143"/>
  <c r="H115" i="141"/>
  <c r="H115" i="142"/>
  <c r="H115" i="143"/>
  <c r="F115" i="141"/>
  <c r="F115" i="142"/>
  <c r="F115" i="143"/>
  <c r="E115" i="141"/>
  <c r="E115" i="142"/>
  <c r="E115" i="143"/>
  <c r="D115" i="141"/>
  <c r="D115" i="142"/>
  <c r="D115" i="143"/>
  <c r="C115" i="141"/>
  <c r="C115" i="142"/>
  <c r="C115" i="143"/>
  <c r="H114" i="141"/>
  <c r="H114" i="142"/>
  <c r="H114" i="143"/>
  <c r="G114" i="141"/>
  <c r="G114" i="142"/>
  <c r="G114" i="143"/>
  <c r="F114" i="141"/>
  <c r="F114" i="142"/>
  <c r="F114" i="143"/>
  <c r="E114" i="141"/>
  <c r="E114" i="142"/>
  <c r="E114" i="143"/>
  <c r="D114" i="141"/>
  <c r="D114" i="142"/>
  <c r="D114" i="143"/>
  <c r="C114" i="141"/>
  <c r="C114" i="142"/>
  <c r="C114" i="143"/>
  <c r="H113" i="141"/>
  <c r="H113" i="142"/>
  <c r="H113" i="143"/>
  <c r="E113" i="141"/>
  <c r="E113" i="142"/>
  <c r="E113" i="143"/>
  <c r="D113" i="141"/>
  <c r="D113" i="142"/>
  <c r="D113" i="143"/>
  <c r="C113" i="141"/>
  <c r="C113" i="142"/>
  <c r="C113" i="143"/>
  <c r="H112" i="141"/>
  <c r="H112" i="142"/>
  <c r="H112" i="143"/>
  <c r="G112" i="141"/>
  <c r="G112" i="142"/>
  <c r="G112" i="143"/>
  <c r="F112" i="141"/>
  <c r="F112" i="142"/>
  <c r="F112" i="143"/>
  <c r="E112" i="141"/>
  <c r="E112" i="142"/>
  <c r="E112" i="143"/>
  <c r="D112" i="141"/>
  <c r="D112" i="142"/>
  <c r="D112" i="143"/>
  <c r="C112" i="141"/>
  <c r="C112" i="142"/>
  <c r="C112" i="143"/>
  <c r="H111" i="141"/>
  <c r="H111" i="142"/>
  <c r="H111" i="143"/>
  <c r="F111" i="141"/>
  <c r="F111" i="142"/>
  <c r="F111" i="143"/>
  <c r="E111" i="141"/>
  <c r="E111" i="142"/>
  <c r="E111" i="143"/>
  <c r="D111" i="141"/>
  <c r="D111" i="142"/>
  <c r="D111" i="143"/>
  <c r="C111" i="141"/>
  <c r="C111" i="142"/>
  <c r="C111" i="143"/>
  <c r="H110" i="141"/>
  <c r="H110" i="142"/>
  <c r="H110" i="143"/>
  <c r="G110" i="141"/>
  <c r="G110" i="142"/>
  <c r="G110" i="143"/>
  <c r="F110" i="141"/>
  <c r="F110" i="142"/>
  <c r="F110" i="143"/>
  <c r="E110" i="141"/>
  <c r="E110" i="142"/>
  <c r="E110" i="143"/>
  <c r="D110" i="141"/>
  <c r="D110" i="142"/>
  <c r="D110" i="143"/>
  <c r="C110" i="141"/>
  <c r="C110" i="142"/>
  <c r="C110" i="143"/>
  <c r="H109" i="141"/>
  <c r="H109" i="142"/>
  <c r="H109" i="143"/>
  <c r="F109" i="141"/>
  <c r="F109" i="142"/>
  <c r="F109" i="143"/>
  <c r="E109" i="141"/>
  <c r="E109" i="142"/>
  <c r="E109" i="143"/>
  <c r="D109" i="141"/>
  <c r="D109" i="142"/>
  <c r="D109" i="143"/>
  <c r="C109" i="141"/>
  <c r="C109" i="142"/>
  <c r="C109" i="143"/>
  <c r="H108" i="141"/>
  <c r="H108" i="142"/>
  <c r="H108" i="143"/>
  <c r="G108" i="141"/>
  <c r="G108" i="142"/>
  <c r="G108" i="143"/>
  <c r="F108" i="141"/>
  <c r="F108" i="142"/>
  <c r="F108" i="143"/>
  <c r="E108" i="141"/>
  <c r="E108" i="142"/>
  <c r="E108" i="143"/>
  <c r="D108" i="141"/>
  <c r="D108" i="142"/>
  <c r="D108" i="143"/>
  <c r="C108" i="141"/>
  <c r="C108" i="142"/>
  <c r="C108" i="143"/>
  <c r="H107" i="141"/>
  <c r="H107" i="142"/>
  <c r="H107" i="143"/>
  <c r="F107" i="141"/>
  <c r="F107" i="142"/>
  <c r="F107" i="143"/>
  <c r="E107" i="141"/>
  <c r="E107" i="142"/>
  <c r="E107" i="143"/>
  <c r="D107" i="141"/>
  <c r="D107" i="142"/>
  <c r="D107" i="143"/>
  <c r="C107" i="141"/>
  <c r="C107" i="142"/>
  <c r="C107" i="143"/>
  <c r="H106" i="141"/>
  <c r="H106" i="142"/>
  <c r="H106" i="143"/>
  <c r="G106" i="141"/>
  <c r="G106" i="142"/>
  <c r="G106" i="143"/>
  <c r="F106" i="141"/>
  <c r="F106" i="142"/>
  <c r="F106" i="143"/>
  <c r="E106" i="141"/>
  <c r="E106" i="142"/>
  <c r="E106" i="143"/>
  <c r="D106" i="141"/>
  <c r="D106" i="142"/>
  <c r="D106" i="143"/>
  <c r="C106" i="141"/>
  <c r="C106" i="142"/>
  <c r="C106" i="143"/>
  <c r="H105" i="141"/>
  <c r="H105" i="142"/>
  <c r="H105" i="143"/>
  <c r="F105" i="141"/>
  <c r="F105" i="142"/>
  <c r="F105" i="143"/>
  <c r="E105" i="141"/>
  <c r="E105" i="142"/>
  <c r="E105" i="143"/>
  <c r="D105" i="141"/>
  <c r="D105" i="142"/>
  <c r="D105" i="143"/>
  <c r="C105" i="141"/>
  <c r="C105" i="142"/>
  <c r="C105" i="143"/>
  <c r="H104" i="141"/>
  <c r="H104" i="142"/>
  <c r="H104" i="143"/>
  <c r="G104" i="141"/>
  <c r="G104" i="142"/>
  <c r="G104" i="143"/>
  <c r="F104" i="141"/>
  <c r="F104" i="142"/>
  <c r="F104" i="143"/>
  <c r="E104" i="141"/>
  <c r="E104" i="142"/>
  <c r="E104" i="143"/>
  <c r="D104" i="141"/>
  <c r="D104" i="142"/>
  <c r="D104" i="143"/>
  <c r="C104" i="141"/>
  <c r="C104" i="142"/>
  <c r="C104" i="143"/>
  <c r="H103" i="141"/>
  <c r="H103" i="142"/>
  <c r="H103" i="143"/>
  <c r="F103" i="141"/>
  <c r="F103" i="142"/>
  <c r="F103" i="143"/>
  <c r="E103" i="141"/>
  <c r="E103" i="142"/>
  <c r="E103" i="143"/>
  <c r="D103" i="141"/>
  <c r="D103" i="142"/>
  <c r="D103" i="143"/>
  <c r="C103" i="141"/>
  <c r="C103" i="142"/>
  <c r="C103" i="143"/>
  <c r="H102" i="141"/>
  <c r="H102" i="142"/>
  <c r="H102" i="143"/>
  <c r="G102" i="141"/>
  <c r="G102" i="142"/>
  <c r="G102" i="143"/>
  <c r="F102" i="141"/>
  <c r="F102" i="142"/>
  <c r="F102" i="143"/>
  <c r="E102" i="141"/>
  <c r="E102" i="142"/>
  <c r="E102" i="143"/>
  <c r="D102" i="141"/>
  <c r="D102" i="142"/>
  <c r="D102" i="143"/>
  <c r="C102" i="141"/>
  <c r="C102" i="142"/>
  <c r="C102" i="143"/>
  <c r="H101" i="141"/>
  <c r="H101" i="142"/>
  <c r="H101" i="143"/>
  <c r="F101" i="141"/>
  <c r="F101" i="142"/>
  <c r="F101" i="143"/>
  <c r="E101" i="141"/>
  <c r="E101" i="142"/>
  <c r="E101" i="143"/>
  <c r="D101" i="141"/>
  <c r="D101" i="142"/>
  <c r="D101" i="143"/>
  <c r="C101" i="141"/>
  <c r="C101" i="142"/>
  <c r="C101" i="143"/>
  <c r="H100" i="141"/>
  <c r="H100" i="142"/>
  <c r="H100" i="143"/>
  <c r="G100" i="141"/>
  <c r="G100" i="142"/>
  <c r="G100" i="143"/>
  <c r="F100" i="141"/>
  <c r="F100" i="142"/>
  <c r="F100" i="143"/>
  <c r="E100" i="141"/>
  <c r="E100" i="142"/>
  <c r="E100" i="143"/>
  <c r="D100" i="141"/>
  <c r="D100" i="142"/>
  <c r="D100" i="143"/>
  <c r="C100" i="141"/>
  <c r="C100" i="142"/>
  <c r="C100" i="143"/>
  <c r="H99" i="141"/>
  <c r="H99" i="142"/>
  <c r="H99" i="143"/>
  <c r="F99" i="141"/>
  <c r="F99" i="142"/>
  <c r="F99" i="143"/>
  <c r="E99" i="141"/>
  <c r="E99" i="142"/>
  <c r="E99" i="143"/>
  <c r="D99" i="141"/>
  <c r="D99" i="142"/>
  <c r="D99" i="143"/>
  <c r="C99" i="141"/>
  <c r="C99" i="142"/>
  <c r="C99" i="143"/>
  <c r="H98" i="141"/>
  <c r="H98" i="142"/>
  <c r="H98" i="143"/>
  <c r="G98" i="141"/>
  <c r="G98" i="142"/>
  <c r="G98" i="143"/>
  <c r="F98" i="141"/>
  <c r="F98" i="142"/>
  <c r="F98" i="143"/>
  <c r="E98" i="141"/>
  <c r="E98" i="142"/>
  <c r="E98" i="143"/>
  <c r="D98" i="141"/>
  <c r="D98" i="142"/>
  <c r="D98" i="143"/>
  <c r="C98" i="141"/>
  <c r="C98" i="142"/>
  <c r="C98" i="143"/>
  <c r="H97" i="141"/>
  <c r="H97" i="142"/>
  <c r="H97" i="143"/>
  <c r="F97" i="141"/>
  <c r="F97" i="142"/>
  <c r="F97" i="143"/>
  <c r="E97" i="141"/>
  <c r="E97" i="142"/>
  <c r="E97" i="143"/>
  <c r="D97" i="141"/>
  <c r="D97" i="142"/>
  <c r="D97" i="143"/>
  <c r="C97" i="141"/>
  <c r="C97" i="142"/>
  <c r="C97" i="143"/>
  <c r="H96" i="141"/>
  <c r="H96" i="142"/>
  <c r="H96" i="143"/>
  <c r="G96" i="141"/>
  <c r="G96" i="142"/>
  <c r="G96" i="143"/>
  <c r="F96" i="141"/>
  <c r="F96" i="142"/>
  <c r="F96" i="143"/>
  <c r="E96" i="141"/>
  <c r="E96" i="142"/>
  <c r="E96" i="143"/>
  <c r="D96" i="141"/>
  <c r="D96" i="142"/>
  <c r="D96" i="143"/>
  <c r="C96" i="141"/>
  <c r="C96" i="142"/>
  <c r="C96" i="143"/>
  <c r="H95" i="141"/>
  <c r="H95" i="142"/>
  <c r="H95" i="143"/>
  <c r="F95" i="141"/>
  <c r="F95" i="142"/>
  <c r="F95" i="143"/>
  <c r="E95" i="141"/>
  <c r="E95" i="142"/>
  <c r="E95" i="143"/>
  <c r="D95" i="141"/>
  <c r="D95" i="142"/>
  <c r="D95" i="143"/>
  <c r="C95" i="141"/>
  <c r="C95" i="142"/>
  <c r="C95" i="143"/>
  <c r="H94" i="141"/>
  <c r="H94" i="142"/>
  <c r="H94" i="143"/>
  <c r="G94" i="141"/>
  <c r="G94" i="142"/>
  <c r="G94" i="143"/>
  <c r="F94" i="141"/>
  <c r="F94" i="142"/>
  <c r="F94" i="143"/>
  <c r="E94" i="141"/>
  <c r="E94" i="142"/>
  <c r="E94" i="143"/>
  <c r="D94" i="141"/>
  <c r="D94" i="142"/>
  <c r="D94" i="143"/>
  <c r="C94" i="141"/>
  <c r="C94" i="142"/>
  <c r="C94" i="143"/>
  <c r="H93" i="141"/>
  <c r="H93" i="142"/>
  <c r="H93" i="143"/>
  <c r="F93" i="141"/>
  <c r="F93" i="142"/>
  <c r="F93" i="143"/>
  <c r="E93" i="141"/>
  <c r="E93" i="142"/>
  <c r="E93" i="143"/>
  <c r="D93" i="141"/>
  <c r="D93" i="142"/>
  <c r="D93" i="143"/>
  <c r="C93" i="141"/>
  <c r="C93" i="142"/>
  <c r="C93" i="143"/>
  <c r="H92" i="141"/>
  <c r="H92" i="142"/>
  <c r="H92" i="143"/>
  <c r="G92" i="141"/>
  <c r="G92" i="142"/>
  <c r="G92" i="143"/>
  <c r="F92" i="141"/>
  <c r="F92" i="142"/>
  <c r="F92" i="143"/>
  <c r="E92" i="141"/>
  <c r="E92" i="142"/>
  <c r="E92" i="143"/>
  <c r="D92" i="141"/>
  <c r="D92" i="142"/>
  <c r="D92" i="143"/>
  <c r="C92" i="141"/>
  <c r="C92" i="142"/>
  <c r="C92" i="143"/>
  <c r="H91" i="141"/>
  <c r="H91" i="142"/>
  <c r="H91" i="143"/>
  <c r="F91" i="141"/>
  <c r="F91" i="142"/>
  <c r="F91" i="143"/>
  <c r="E91" i="141"/>
  <c r="E91" i="142"/>
  <c r="E91" i="143"/>
  <c r="D91" i="141"/>
  <c r="D91" i="142"/>
  <c r="D91" i="143"/>
  <c r="C91" i="141"/>
  <c r="C91" i="142"/>
  <c r="C91" i="143"/>
  <c r="H90" i="141"/>
  <c r="H90" i="142"/>
  <c r="H90" i="143"/>
  <c r="G90" i="141"/>
  <c r="G90" i="142"/>
  <c r="G90" i="143"/>
  <c r="F90" i="141"/>
  <c r="F90" i="142"/>
  <c r="F90" i="143"/>
  <c r="E90" i="141"/>
  <c r="E90" i="142"/>
  <c r="E90" i="143"/>
  <c r="D90" i="141"/>
  <c r="D90" i="142"/>
  <c r="D90" i="143"/>
  <c r="C90" i="141"/>
  <c r="C90" i="142"/>
  <c r="C90" i="143"/>
  <c r="H89" i="141"/>
  <c r="H89" i="142"/>
  <c r="H89" i="143"/>
  <c r="F89" i="141"/>
  <c r="F89" i="142"/>
  <c r="F89" i="143"/>
  <c r="E89" i="141"/>
  <c r="E89" i="142"/>
  <c r="E89" i="143"/>
  <c r="D89" i="141"/>
  <c r="D89" i="142"/>
  <c r="D89" i="143"/>
  <c r="C89" i="141"/>
  <c r="C89" i="142"/>
  <c r="C89" i="143"/>
  <c r="H88" i="141"/>
  <c r="H88" i="142"/>
  <c r="H88" i="143"/>
  <c r="G88" i="141"/>
  <c r="G88" i="142"/>
  <c r="G88" i="143"/>
  <c r="F88" i="141"/>
  <c r="F88" i="142"/>
  <c r="F88" i="143"/>
  <c r="E88" i="141"/>
  <c r="E88" i="142"/>
  <c r="E88" i="143"/>
  <c r="D88" i="141"/>
  <c r="D88" i="142"/>
  <c r="D88" i="143"/>
  <c r="C88" i="141"/>
  <c r="C88" i="142"/>
  <c r="C88" i="143"/>
  <c r="H87" i="141"/>
  <c r="H87" i="142"/>
  <c r="H87" i="143"/>
  <c r="F87" i="141"/>
  <c r="F87" i="142"/>
  <c r="F87" i="143"/>
  <c r="E87" i="141"/>
  <c r="E87" i="142"/>
  <c r="E87" i="143"/>
  <c r="D87" i="141"/>
  <c r="D87" i="142"/>
  <c r="D87" i="143"/>
  <c r="C87" i="141"/>
  <c r="C87" i="142"/>
  <c r="C87" i="143"/>
  <c r="H86" i="141"/>
  <c r="H86" i="142"/>
  <c r="H86" i="143"/>
  <c r="G86" i="141"/>
  <c r="G86" i="142"/>
  <c r="G86" i="143"/>
  <c r="F86" i="141"/>
  <c r="F86" i="142"/>
  <c r="F86" i="143"/>
  <c r="E86" i="141"/>
  <c r="E86" i="142"/>
  <c r="E86" i="143"/>
  <c r="D86" i="141"/>
  <c r="D86" i="142"/>
  <c r="D86" i="143"/>
  <c r="C86" i="141"/>
  <c r="C86" i="142"/>
  <c r="C86" i="143"/>
  <c r="H85" i="141"/>
  <c r="H85" i="142"/>
  <c r="H85" i="143"/>
  <c r="F85" i="141"/>
  <c r="F85" i="142"/>
  <c r="F85" i="143"/>
  <c r="E85" i="141"/>
  <c r="E85" i="142"/>
  <c r="E85" i="143"/>
  <c r="D85" i="141"/>
  <c r="D85" i="142"/>
  <c r="D85" i="143"/>
  <c r="C85" i="141"/>
  <c r="C85" i="142"/>
  <c r="C85" i="143"/>
  <c r="H84" i="141"/>
  <c r="H84" i="142"/>
  <c r="H84" i="143"/>
  <c r="G84" i="141"/>
  <c r="G84" i="142"/>
  <c r="G84" i="143"/>
  <c r="F84" i="141"/>
  <c r="F84" i="142"/>
  <c r="F84" i="143"/>
  <c r="E84" i="141"/>
  <c r="E84" i="142"/>
  <c r="E84" i="143"/>
  <c r="D84" i="141"/>
  <c r="D84" i="142"/>
  <c r="D84" i="143"/>
  <c r="C84" i="141"/>
  <c r="C84" i="142"/>
  <c r="C84" i="143"/>
  <c r="H83" i="141"/>
  <c r="H83" i="142"/>
  <c r="H83" i="143"/>
  <c r="F83" i="141"/>
  <c r="F83" i="142"/>
  <c r="F83" i="143"/>
  <c r="E83" i="141"/>
  <c r="E83" i="142"/>
  <c r="E83" i="143"/>
  <c r="D83" i="141"/>
  <c r="D83" i="142"/>
  <c r="D83" i="143"/>
  <c r="C83" i="141"/>
  <c r="C83" i="142"/>
  <c r="C83" i="143"/>
  <c r="H82" i="141"/>
  <c r="H82" i="142"/>
  <c r="H82" i="143"/>
  <c r="G82" i="141"/>
  <c r="G82" i="142"/>
  <c r="G82" i="143"/>
  <c r="F82" i="141"/>
  <c r="F82" i="142"/>
  <c r="F82" i="143"/>
  <c r="E82" i="141"/>
  <c r="E82" i="142"/>
  <c r="E82" i="143"/>
  <c r="D82" i="141"/>
  <c r="D82" i="142"/>
  <c r="D82" i="143"/>
  <c r="C82" i="141"/>
  <c r="C82" i="142"/>
  <c r="C82" i="143"/>
  <c r="H81" i="141"/>
  <c r="H81" i="142"/>
  <c r="H81" i="143"/>
  <c r="E81" i="141"/>
  <c r="E81" i="142"/>
  <c r="E81" i="143"/>
  <c r="D81" i="141"/>
  <c r="D81" i="142"/>
  <c r="D81" i="143"/>
  <c r="C81" i="141"/>
  <c r="C81" i="142"/>
  <c r="C81" i="143"/>
  <c r="H80" i="141"/>
  <c r="H80" i="142"/>
  <c r="H80" i="143"/>
  <c r="G80" i="141"/>
  <c r="G80" i="142"/>
  <c r="G80" i="143"/>
  <c r="F80" i="141"/>
  <c r="F80" i="142"/>
  <c r="F80" i="143"/>
  <c r="E80" i="141"/>
  <c r="E80" i="142"/>
  <c r="E80" i="143"/>
  <c r="D80" i="141"/>
  <c r="D80" i="142"/>
  <c r="D80" i="143"/>
  <c r="C80" i="141"/>
  <c r="C80" i="142"/>
  <c r="C80" i="143"/>
  <c r="H79" i="141"/>
  <c r="H79" i="142"/>
  <c r="H79" i="143"/>
  <c r="F79" i="141"/>
  <c r="F79" i="142"/>
  <c r="F79" i="143"/>
  <c r="E79" i="141"/>
  <c r="E79" i="142"/>
  <c r="E79" i="143"/>
  <c r="D79" i="141"/>
  <c r="D79" i="142"/>
  <c r="D79" i="143"/>
  <c r="C79" i="141"/>
  <c r="C79" i="142"/>
  <c r="C79" i="143"/>
  <c r="H78" i="141"/>
  <c r="H78" i="142"/>
  <c r="H78" i="143"/>
  <c r="G78" i="141"/>
  <c r="G78" i="142"/>
  <c r="G78" i="143"/>
  <c r="F78" i="141"/>
  <c r="F78" i="142"/>
  <c r="F78" i="143"/>
  <c r="E78" i="141"/>
  <c r="E78" i="142"/>
  <c r="E78" i="143"/>
  <c r="D78" i="141"/>
  <c r="D78" i="142"/>
  <c r="D78" i="143"/>
  <c r="C78" i="141"/>
  <c r="C78" i="142"/>
  <c r="C78" i="143"/>
  <c r="H77" i="141"/>
  <c r="H77" i="142"/>
  <c r="H77" i="143"/>
  <c r="F77" i="141"/>
  <c r="F77" i="142"/>
  <c r="F77" i="143"/>
  <c r="E77" i="141"/>
  <c r="E77" i="142"/>
  <c r="E77" i="143"/>
  <c r="D77" i="141"/>
  <c r="D77" i="142"/>
  <c r="D77" i="143"/>
  <c r="C77" i="141"/>
  <c r="C77" i="142"/>
  <c r="C77" i="143"/>
  <c r="H76" i="141"/>
  <c r="H76" i="142"/>
  <c r="H76" i="143"/>
  <c r="G76" i="141"/>
  <c r="G76" i="142"/>
  <c r="G76" i="143"/>
  <c r="F76" i="141"/>
  <c r="F76" i="142"/>
  <c r="F76" i="143"/>
  <c r="E76" i="141"/>
  <c r="E76" i="142"/>
  <c r="E76" i="143"/>
  <c r="D76" i="141"/>
  <c r="D76" i="142"/>
  <c r="D76" i="143"/>
  <c r="C76" i="141"/>
  <c r="C76" i="142"/>
  <c r="C76" i="143"/>
  <c r="H75" i="141"/>
  <c r="H75" i="142"/>
  <c r="H75" i="143"/>
  <c r="F75" i="141"/>
  <c r="F75" i="142"/>
  <c r="F75" i="143"/>
  <c r="E75" i="141"/>
  <c r="E75" i="142"/>
  <c r="E75" i="143"/>
  <c r="D75" i="141"/>
  <c r="D75" i="142"/>
  <c r="D75" i="143"/>
  <c r="C75" i="141"/>
  <c r="C75" i="142"/>
  <c r="C75" i="143"/>
  <c r="H74" i="141"/>
  <c r="H74" i="142"/>
  <c r="H74" i="143"/>
  <c r="G74" i="141"/>
  <c r="G74" i="142"/>
  <c r="G74" i="143"/>
  <c r="F74" i="141"/>
  <c r="F74" i="142"/>
  <c r="F74" i="143"/>
  <c r="E74" i="141"/>
  <c r="E74" i="142"/>
  <c r="E74" i="143"/>
  <c r="D74" i="141"/>
  <c r="D74" i="142"/>
  <c r="D74" i="143"/>
  <c r="C74" i="141"/>
  <c r="C74" i="142"/>
  <c r="C74" i="143"/>
  <c r="H73" i="141"/>
  <c r="H73" i="142"/>
  <c r="H73" i="143"/>
  <c r="F73" i="141"/>
  <c r="F73" i="142"/>
  <c r="F73" i="143"/>
  <c r="E73" i="141"/>
  <c r="E73" i="142"/>
  <c r="E73" i="143"/>
  <c r="D73" i="141"/>
  <c r="D73" i="142"/>
  <c r="D73" i="143"/>
  <c r="C73" i="141"/>
  <c r="C73" i="142"/>
  <c r="C73" i="143"/>
  <c r="H72" i="141"/>
  <c r="H72" i="142"/>
  <c r="H72" i="143"/>
  <c r="G72" i="141"/>
  <c r="G72" i="142"/>
  <c r="G72" i="143"/>
  <c r="F72" i="141"/>
  <c r="F72" i="142"/>
  <c r="F72" i="143"/>
  <c r="E72" i="141"/>
  <c r="E72" i="142"/>
  <c r="E72" i="143"/>
  <c r="D72" i="141"/>
  <c r="D72" i="142"/>
  <c r="D72" i="143"/>
  <c r="C72" i="141"/>
  <c r="C72" i="142"/>
  <c r="C72" i="143"/>
  <c r="H71" i="141"/>
  <c r="H71" i="142"/>
  <c r="H71" i="143"/>
  <c r="F71" i="141"/>
  <c r="F71" i="142"/>
  <c r="F71" i="143"/>
  <c r="E71" i="141"/>
  <c r="E71" i="142"/>
  <c r="E71" i="143"/>
  <c r="D71" i="141"/>
  <c r="D71" i="142"/>
  <c r="D71" i="143"/>
  <c r="C71" i="141"/>
  <c r="C71" i="142"/>
  <c r="C71" i="143"/>
  <c r="H70" i="141"/>
  <c r="H70" i="142"/>
  <c r="H70" i="143"/>
  <c r="G70" i="141"/>
  <c r="G70" i="142"/>
  <c r="G70" i="143"/>
  <c r="F70" i="141"/>
  <c r="F70" i="142"/>
  <c r="F70" i="143"/>
  <c r="E70" i="141"/>
  <c r="E70" i="142"/>
  <c r="E70" i="143"/>
  <c r="D70" i="141"/>
  <c r="D70" i="142"/>
  <c r="D70" i="143"/>
  <c r="C70" i="141"/>
  <c r="C70" i="142"/>
  <c r="C70" i="143"/>
  <c r="H69" i="141"/>
  <c r="H69" i="142"/>
  <c r="H69" i="143"/>
  <c r="F69" i="141"/>
  <c r="F69" i="142"/>
  <c r="F69" i="143"/>
  <c r="E69" i="141"/>
  <c r="E69" i="142"/>
  <c r="E69" i="143"/>
  <c r="D69" i="141"/>
  <c r="D69" i="142"/>
  <c r="D69" i="143"/>
  <c r="C69" i="141"/>
  <c r="C69" i="142"/>
  <c r="C69" i="143"/>
  <c r="H68" i="141"/>
  <c r="H68" i="142"/>
  <c r="H68" i="143"/>
  <c r="G68" i="141"/>
  <c r="G68" i="142"/>
  <c r="G68" i="143"/>
  <c r="F68" i="141"/>
  <c r="F68" i="142"/>
  <c r="F68" i="143"/>
  <c r="E68" i="141"/>
  <c r="E68" i="142"/>
  <c r="E68" i="143"/>
  <c r="D68" i="141"/>
  <c r="D68" i="142"/>
  <c r="D68" i="143"/>
  <c r="C68" i="141"/>
  <c r="C68" i="142"/>
  <c r="C68" i="143"/>
  <c r="H67" i="141"/>
  <c r="H67" i="142"/>
  <c r="H67" i="143"/>
  <c r="F67" i="141"/>
  <c r="F67" i="142"/>
  <c r="F67" i="143"/>
  <c r="E67" i="141"/>
  <c r="E67" i="142"/>
  <c r="E67" i="143"/>
  <c r="D67" i="141"/>
  <c r="D67" i="142"/>
  <c r="D67" i="143"/>
  <c r="C67" i="141"/>
  <c r="C67" i="142"/>
  <c r="C67" i="143"/>
  <c r="H66" i="141"/>
  <c r="H66" i="142"/>
  <c r="H66" i="143"/>
  <c r="G66" i="141"/>
  <c r="G66" i="142"/>
  <c r="G66" i="143"/>
  <c r="F66" i="141"/>
  <c r="F66" i="142"/>
  <c r="F66" i="143"/>
  <c r="E66" i="141"/>
  <c r="E66" i="142"/>
  <c r="E66" i="143"/>
  <c r="D66" i="141"/>
  <c r="D66" i="142"/>
  <c r="D66" i="143"/>
  <c r="C66" i="141"/>
  <c r="C66" i="142"/>
  <c r="C66" i="143"/>
  <c r="H65" i="141"/>
  <c r="H65" i="142"/>
  <c r="H65" i="143"/>
  <c r="F65" i="141"/>
  <c r="F65" i="142"/>
  <c r="F65" i="143"/>
  <c r="E65" i="141"/>
  <c r="E65" i="142"/>
  <c r="E65" i="143"/>
  <c r="D65" i="141"/>
  <c r="D65" i="142"/>
  <c r="D65" i="143"/>
  <c r="C65" i="141"/>
  <c r="C65" i="142"/>
  <c r="C65" i="143"/>
  <c r="H64" i="141"/>
  <c r="H64" i="142"/>
  <c r="H64" i="143"/>
  <c r="G64" i="141"/>
  <c r="G64" i="142"/>
  <c r="G64" i="143"/>
  <c r="F64" i="141"/>
  <c r="F64" i="142"/>
  <c r="F64" i="143"/>
  <c r="E64" i="141"/>
  <c r="E64" i="142"/>
  <c r="E64" i="143"/>
  <c r="D64" i="141"/>
  <c r="D64" i="142"/>
  <c r="D64" i="143"/>
  <c r="C64" i="141"/>
  <c r="C64" i="142"/>
  <c r="C64" i="143"/>
  <c r="H63" i="141"/>
  <c r="H63" i="142"/>
  <c r="H63" i="143"/>
  <c r="F63" i="141"/>
  <c r="F63" i="142"/>
  <c r="F63" i="143"/>
  <c r="E63" i="141"/>
  <c r="E63" i="142"/>
  <c r="E63" i="143"/>
  <c r="D63" i="141"/>
  <c r="D63" i="142"/>
  <c r="D63" i="143"/>
  <c r="C63" i="141"/>
  <c r="C63" i="142"/>
  <c r="C63" i="143"/>
  <c r="H62" i="141"/>
  <c r="H62" i="142"/>
  <c r="H62" i="143"/>
  <c r="G62" i="141"/>
  <c r="G62" i="142"/>
  <c r="G62" i="143"/>
  <c r="F62" i="141"/>
  <c r="F62" i="142"/>
  <c r="F62" i="143"/>
  <c r="E62" i="141"/>
  <c r="E62" i="142"/>
  <c r="E62" i="143"/>
  <c r="D62" i="141"/>
  <c r="D62" i="142"/>
  <c r="D62" i="143"/>
  <c r="C62" i="141"/>
  <c r="C62" i="142"/>
  <c r="C62" i="143"/>
  <c r="H61" i="141"/>
  <c r="H61" i="142"/>
  <c r="H61" i="143"/>
  <c r="F61" i="141"/>
  <c r="F61" i="142"/>
  <c r="F61" i="143"/>
  <c r="E61" i="141"/>
  <c r="E61" i="142"/>
  <c r="E61" i="143"/>
  <c r="D61" i="141"/>
  <c r="D61" i="142"/>
  <c r="D61" i="143"/>
  <c r="C61" i="141"/>
  <c r="C61" i="142"/>
  <c r="C61" i="143"/>
  <c r="H60" i="141"/>
  <c r="H60" i="142"/>
  <c r="H60" i="143"/>
  <c r="G60" i="141"/>
  <c r="G60" i="142"/>
  <c r="G60" i="143"/>
  <c r="E60" i="141"/>
  <c r="E60" i="142"/>
  <c r="E60" i="143"/>
  <c r="D60" i="141"/>
  <c r="D60" i="142"/>
  <c r="D60" i="143"/>
  <c r="C60" i="141"/>
  <c r="C60" i="142"/>
  <c r="C60" i="143"/>
  <c r="H59" i="141"/>
  <c r="H59" i="142"/>
  <c r="H59" i="143"/>
  <c r="F59" i="141"/>
  <c r="F59" i="142"/>
  <c r="F59" i="143"/>
  <c r="E59" i="141"/>
  <c r="E59" i="142"/>
  <c r="E59" i="143"/>
  <c r="D59" i="141"/>
  <c r="D59" i="142"/>
  <c r="D59" i="143"/>
  <c r="C59" i="141"/>
  <c r="C59" i="142"/>
  <c r="C59" i="143"/>
  <c r="H58" i="141"/>
  <c r="H58" i="142"/>
  <c r="H58" i="143"/>
  <c r="G58" i="141"/>
  <c r="G58" i="142"/>
  <c r="G58" i="143"/>
  <c r="F58" i="141"/>
  <c r="F58" i="142"/>
  <c r="F58" i="143"/>
  <c r="E58" i="141"/>
  <c r="E58" i="142"/>
  <c r="E58" i="143"/>
  <c r="D58" i="141"/>
  <c r="D58" i="142"/>
  <c r="D58" i="143"/>
  <c r="C58" i="141"/>
  <c r="C58" i="142"/>
  <c r="C58" i="143"/>
  <c r="H57" i="141"/>
  <c r="H57" i="142"/>
  <c r="H57" i="143"/>
  <c r="F57" i="141"/>
  <c r="F57" i="142"/>
  <c r="F57" i="143"/>
  <c r="E57" i="141"/>
  <c r="E57" i="142"/>
  <c r="E57" i="143"/>
  <c r="D57" i="141"/>
  <c r="D57" i="142"/>
  <c r="D57" i="143"/>
  <c r="C57" i="141"/>
  <c r="C57" i="142"/>
  <c r="C57" i="143"/>
  <c r="H56" i="141"/>
  <c r="H56" i="142"/>
  <c r="H56" i="143"/>
  <c r="G56" i="141"/>
  <c r="G56" i="142"/>
  <c r="G56" i="143"/>
  <c r="F56" i="141"/>
  <c r="F56" i="142"/>
  <c r="F56" i="143"/>
  <c r="E56" i="141"/>
  <c r="E56" i="142"/>
  <c r="E56" i="143"/>
  <c r="D56" i="141"/>
  <c r="D56" i="142"/>
  <c r="D56" i="143"/>
  <c r="C56" i="141"/>
  <c r="C56" i="142"/>
  <c r="C56" i="143"/>
  <c r="G55" i="141"/>
  <c r="G55" i="142"/>
  <c r="G55" i="143"/>
  <c r="F55" i="141"/>
  <c r="F55" i="142"/>
  <c r="F55" i="143"/>
  <c r="E55" i="141"/>
  <c r="E55" i="142"/>
  <c r="E55" i="143"/>
  <c r="D55" i="141"/>
  <c r="D55" i="142"/>
  <c r="D55" i="143"/>
  <c r="C55" i="141"/>
  <c r="C55" i="142"/>
  <c r="C55" i="143"/>
  <c r="H53" i="141"/>
  <c r="H53" i="142"/>
  <c r="H53" i="143"/>
  <c r="G53" i="141"/>
  <c r="G53" i="142"/>
  <c r="G53" i="143"/>
  <c r="F53" i="141"/>
  <c r="F53" i="142"/>
  <c r="F53" i="143"/>
  <c r="E53" i="141"/>
  <c r="E53" i="142"/>
  <c r="E53" i="143"/>
  <c r="D53" i="141"/>
  <c r="D53" i="142"/>
  <c r="D53" i="143"/>
  <c r="H52" i="141"/>
  <c r="H52" i="142"/>
  <c r="H52" i="143"/>
  <c r="F52" i="141"/>
  <c r="F52" i="142"/>
  <c r="F52" i="143"/>
  <c r="E52" i="141"/>
  <c r="E52" i="142"/>
  <c r="E52" i="143"/>
  <c r="D52" i="141"/>
  <c r="D52" i="142"/>
  <c r="D52" i="143"/>
  <c r="H51" i="141"/>
  <c r="H51" i="142"/>
  <c r="H51" i="143"/>
  <c r="G51" i="141"/>
  <c r="G51" i="142"/>
  <c r="G51" i="143"/>
  <c r="F51" i="141"/>
  <c r="F51" i="142"/>
  <c r="F51" i="143"/>
  <c r="E51" i="141"/>
  <c r="E51" i="142"/>
  <c r="E51" i="143"/>
  <c r="D51" i="141"/>
  <c r="D51" i="142"/>
  <c r="D51" i="143"/>
  <c r="H50" i="141"/>
  <c r="H50" i="142"/>
  <c r="H50" i="143"/>
  <c r="F50" i="141"/>
  <c r="F50" i="142"/>
  <c r="F50" i="143"/>
  <c r="E50" i="141"/>
  <c r="E50" i="142"/>
  <c r="E50" i="143"/>
  <c r="D50" i="141"/>
  <c r="D50" i="142"/>
  <c r="D50" i="143"/>
  <c r="H49" i="141"/>
  <c r="H49" i="142"/>
  <c r="H49" i="143"/>
  <c r="G49" i="141"/>
  <c r="G49" i="142"/>
  <c r="G49" i="143"/>
  <c r="F49" i="141"/>
  <c r="F49" i="142"/>
  <c r="F49" i="143"/>
  <c r="E49" i="141"/>
  <c r="E49" i="142"/>
  <c r="E49" i="143"/>
  <c r="D49" i="141"/>
  <c r="D49" i="142"/>
  <c r="D49" i="143"/>
  <c r="H48" i="141"/>
  <c r="H48" i="142"/>
  <c r="H48" i="143"/>
  <c r="F48" i="141"/>
  <c r="F48" i="142"/>
  <c r="F48" i="143"/>
  <c r="E48" i="141"/>
  <c r="E48" i="142"/>
  <c r="E48" i="143"/>
  <c r="D48" i="141"/>
  <c r="D48" i="142"/>
  <c r="D48" i="143"/>
  <c r="H47" i="141"/>
  <c r="H47" i="142"/>
  <c r="H47" i="143"/>
  <c r="G47" i="141"/>
  <c r="G47" i="142"/>
  <c r="G47" i="143"/>
  <c r="F47" i="141"/>
  <c r="F47" i="142"/>
  <c r="F47" i="143"/>
  <c r="E47" i="141"/>
  <c r="E47" i="142"/>
  <c r="E47" i="143"/>
  <c r="D47" i="141"/>
  <c r="D47" i="142"/>
  <c r="D47" i="143"/>
  <c r="H46" i="141"/>
  <c r="H46" i="142"/>
  <c r="H46" i="143"/>
  <c r="F46" i="141"/>
  <c r="F46" i="142"/>
  <c r="F46" i="143"/>
  <c r="E46" i="141"/>
  <c r="E46" i="142"/>
  <c r="E46" i="143"/>
  <c r="D46" i="141"/>
  <c r="D46" i="142"/>
  <c r="D46" i="143"/>
  <c r="H45" i="141"/>
  <c r="H45" i="142"/>
  <c r="H45" i="143"/>
  <c r="G45" i="141"/>
  <c r="G45" i="142"/>
  <c r="G45" i="143"/>
  <c r="F45" i="141"/>
  <c r="F45" i="142"/>
  <c r="F45" i="143"/>
  <c r="E45" i="141"/>
  <c r="E45" i="142"/>
  <c r="E45" i="143"/>
  <c r="D45" i="141"/>
  <c r="D45" i="142"/>
  <c r="D45" i="143"/>
  <c r="H44" i="141"/>
  <c r="H44" i="142"/>
  <c r="H44" i="143"/>
  <c r="F44" i="141"/>
  <c r="F44" i="142"/>
  <c r="F44" i="143"/>
  <c r="E44" i="141"/>
  <c r="E44" i="142"/>
  <c r="E44" i="143"/>
  <c r="D44" i="141"/>
  <c r="D44" i="142"/>
  <c r="D44" i="143"/>
  <c r="H43" i="141"/>
  <c r="H43" i="142"/>
  <c r="H43" i="143"/>
  <c r="G43" i="141"/>
  <c r="G43" i="142"/>
  <c r="G43" i="143"/>
  <c r="F43" i="141"/>
  <c r="F43" i="142"/>
  <c r="F43" i="143"/>
  <c r="E43" i="141"/>
  <c r="E43" i="142"/>
  <c r="E43" i="143"/>
  <c r="D43" i="141"/>
  <c r="D43" i="142"/>
  <c r="D43" i="143"/>
  <c r="H42" i="141"/>
  <c r="H42" i="142"/>
  <c r="H42" i="143"/>
  <c r="F42" i="141"/>
  <c r="F42" i="142"/>
  <c r="F42" i="143"/>
  <c r="E42" i="141"/>
  <c r="E42" i="142"/>
  <c r="E42" i="143"/>
  <c r="D42" i="141"/>
  <c r="D42" i="142"/>
  <c r="D42" i="143"/>
  <c r="H41" i="141"/>
  <c r="H41" i="142"/>
  <c r="H41" i="143"/>
  <c r="G41" i="141"/>
  <c r="G41" i="142"/>
  <c r="G41" i="143"/>
  <c r="F41" i="141"/>
  <c r="F41" i="142"/>
  <c r="F41" i="143"/>
  <c r="E41" i="141"/>
  <c r="E41" i="142"/>
  <c r="E41" i="143"/>
  <c r="D41" i="141"/>
  <c r="D41" i="142"/>
  <c r="D41" i="143"/>
  <c r="H40" i="141"/>
  <c r="H40" i="142"/>
  <c r="H40" i="143"/>
  <c r="F40" i="141"/>
  <c r="F40" i="142"/>
  <c r="F40" i="143"/>
  <c r="E40" i="141"/>
  <c r="E40" i="142"/>
  <c r="E40" i="143"/>
  <c r="D40" i="141"/>
  <c r="D40" i="142"/>
  <c r="D40" i="143"/>
  <c r="H39" i="141"/>
  <c r="H39" i="142"/>
  <c r="H39" i="143"/>
  <c r="G39" i="141"/>
  <c r="G39" i="142"/>
  <c r="G39" i="143"/>
  <c r="F39" i="141"/>
  <c r="F39" i="142"/>
  <c r="F39" i="143"/>
  <c r="E39" i="141"/>
  <c r="E39" i="142"/>
  <c r="E39" i="143"/>
  <c r="D39" i="141"/>
  <c r="D39" i="142"/>
  <c r="D39" i="143"/>
  <c r="H38" i="141"/>
  <c r="H38" i="142"/>
  <c r="H38" i="143"/>
  <c r="F38" i="141"/>
  <c r="F38" i="142"/>
  <c r="F38" i="143"/>
  <c r="E38" i="141"/>
  <c r="E38" i="142"/>
  <c r="E38" i="143"/>
  <c r="D38" i="141"/>
  <c r="D38" i="142"/>
  <c r="D38" i="143"/>
  <c r="H37" i="141"/>
  <c r="H37" i="142"/>
  <c r="H37" i="143"/>
  <c r="G37" i="141"/>
  <c r="G37" i="142"/>
  <c r="G37" i="143"/>
  <c r="F37" i="141"/>
  <c r="F37" i="142"/>
  <c r="F37" i="143"/>
  <c r="E37" i="141"/>
  <c r="E37" i="142"/>
  <c r="E37" i="143"/>
  <c r="D37" i="141"/>
  <c r="D37" i="142"/>
  <c r="D37" i="143"/>
  <c r="H36" i="141"/>
  <c r="H36" i="142"/>
  <c r="H36" i="143"/>
  <c r="F36" i="141"/>
  <c r="F36" i="142"/>
  <c r="F36" i="143"/>
  <c r="E36" i="141"/>
  <c r="E36" i="142"/>
  <c r="E36" i="143"/>
  <c r="D36" i="141"/>
  <c r="D36" i="142"/>
  <c r="D36" i="143"/>
  <c r="H35" i="141"/>
  <c r="H35" i="142"/>
  <c r="H35" i="143"/>
  <c r="G35" i="141"/>
  <c r="G35" i="142"/>
  <c r="G35" i="143"/>
  <c r="F35" i="141"/>
  <c r="F35" i="142"/>
  <c r="F35" i="143"/>
  <c r="E35" i="141"/>
  <c r="E35" i="142"/>
  <c r="E35" i="143"/>
  <c r="D35" i="141"/>
  <c r="D35" i="142"/>
  <c r="D35" i="143"/>
  <c r="H34" i="141"/>
  <c r="H34" i="142"/>
  <c r="H34" i="143"/>
  <c r="F34" i="141"/>
  <c r="F34" i="142"/>
  <c r="F34" i="143"/>
  <c r="E34" i="141"/>
  <c r="E34" i="142"/>
  <c r="E34" i="143"/>
  <c r="D34" i="141"/>
  <c r="D34" i="142"/>
  <c r="D34" i="143"/>
  <c r="C34" i="141"/>
  <c r="C34" i="142"/>
  <c r="C34" i="143"/>
  <c r="H33" i="141"/>
  <c r="H33" i="142"/>
  <c r="H33" i="143"/>
  <c r="G33" i="141"/>
  <c r="G33" i="142"/>
  <c r="G33" i="143"/>
  <c r="E33" i="141"/>
  <c r="E33" i="142"/>
  <c r="E33" i="143"/>
  <c r="D33" i="141"/>
  <c r="D33" i="142"/>
  <c r="D33" i="143"/>
  <c r="C33" i="141"/>
  <c r="C33" i="142"/>
  <c r="C33" i="143"/>
  <c r="H32" i="141"/>
  <c r="H32" i="142"/>
  <c r="H32" i="143"/>
  <c r="F32" i="141"/>
  <c r="F32" i="142"/>
  <c r="F32" i="143"/>
  <c r="E32" i="141"/>
  <c r="E32" i="142"/>
  <c r="E32" i="143"/>
  <c r="D32" i="141"/>
  <c r="D32" i="142"/>
  <c r="D32" i="143"/>
  <c r="C32" i="141"/>
  <c r="C32" i="142"/>
  <c r="C32" i="143"/>
  <c r="H31" i="141"/>
  <c r="H31" i="142"/>
  <c r="H31" i="143"/>
  <c r="G31" i="141"/>
  <c r="G31" i="142"/>
  <c r="G31" i="143"/>
  <c r="E31" i="141"/>
  <c r="E31" i="142"/>
  <c r="E31" i="143"/>
  <c r="D31" i="141"/>
  <c r="D31" i="142"/>
  <c r="D31" i="143"/>
  <c r="C31" i="141"/>
  <c r="C31" i="142"/>
  <c r="C31" i="143"/>
  <c r="H30" i="141"/>
  <c r="H30" i="142"/>
  <c r="H30" i="143"/>
  <c r="F30" i="141"/>
  <c r="F30" i="142"/>
  <c r="F30" i="143"/>
  <c r="E30" i="141"/>
  <c r="E30" i="142"/>
  <c r="E30" i="143"/>
  <c r="D30" i="141"/>
  <c r="D30" i="142"/>
  <c r="D30" i="143"/>
  <c r="C30" i="141"/>
  <c r="C30" i="142"/>
  <c r="C30" i="143"/>
  <c r="H29" i="141"/>
  <c r="H29" i="142"/>
  <c r="H29" i="143"/>
  <c r="G29" i="141"/>
  <c r="G29" i="142"/>
  <c r="G29" i="143"/>
  <c r="E29" i="141"/>
  <c r="E29" i="142"/>
  <c r="E29" i="143"/>
  <c r="D29" i="141"/>
  <c r="D29" i="142"/>
  <c r="D29" i="143"/>
  <c r="C29" i="141"/>
  <c r="C29" i="142"/>
  <c r="C29" i="143"/>
  <c r="H28" i="141"/>
  <c r="H28" i="142"/>
  <c r="H28" i="143"/>
  <c r="F28" i="141"/>
  <c r="F28" i="142"/>
  <c r="F28" i="143"/>
  <c r="E28" i="141"/>
  <c r="E28" i="142"/>
  <c r="E28" i="143"/>
  <c r="D28" i="141"/>
  <c r="D28" i="142"/>
  <c r="D28" i="143"/>
  <c r="C28" i="141"/>
  <c r="C28" i="142"/>
  <c r="C28" i="143"/>
  <c r="H27" i="141"/>
  <c r="H27" i="142"/>
  <c r="H27" i="143"/>
  <c r="G27" i="141"/>
  <c r="G27" i="142"/>
  <c r="G27" i="143"/>
  <c r="E27" i="141"/>
  <c r="E27" i="142"/>
  <c r="E27" i="143"/>
  <c r="D27" i="141"/>
  <c r="D27" i="142"/>
  <c r="D27" i="143"/>
  <c r="C27" i="141"/>
  <c r="C27" i="142"/>
  <c r="C27" i="143"/>
  <c r="H26" i="141"/>
  <c r="H26" i="142"/>
  <c r="H26" i="143"/>
  <c r="F26" i="141"/>
  <c r="F26" i="142"/>
  <c r="F26" i="143"/>
  <c r="E26" i="141"/>
  <c r="E26" i="142"/>
  <c r="E26" i="143"/>
  <c r="D26" i="141"/>
  <c r="D26" i="142"/>
  <c r="D26" i="143"/>
  <c r="C26" i="141"/>
  <c r="C26" i="142"/>
  <c r="C26" i="143"/>
  <c r="H25" i="141"/>
  <c r="H25" i="142"/>
  <c r="H25" i="143"/>
  <c r="G25" i="141"/>
  <c r="G25" i="142"/>
  <c r="G25" i="143"/>
  <c r="E25" i="141"/>
  <c r="E25" i="142"/>
  <c r="E25" i="143"/>
  <c r="D25" i="141"/>
  <c r="D25" i="142"/>
  <c r="D25" i="143"/>
  <c r="C25" i="141"/>
  <c r="C25" i="142"/>
  <c r="C25" i="143"/>
  <c r="H24" i="141"/>
  <c r="H24" i="142"/>
  <c r="H24" i="143"/>
  <c r="F24" i="141"/>
  <c r="F24" i="142"/>
  <c r="F24" i="143"/>
  <c r="E24" i="141"/>
  <c r="E24" i="142"/>
  <c r="E24" i="143"/>
  <c r="D24" i="141"/>
  <c r="D24" i="142"/>
  <c r="D24" i="143"/>
  <c r="C24" i="141"/>
  <c r="C24" i="142"/>
  <c r="C24" i="143"/>
  <c r="H23" i="141"/>
  <c r="H23" i="142"/>
  <c r="H23" i="143"/>
  <c r="G23" i="141"/>
  <c r="G23" i="142"/>
  <c r="G23" i="143"/>
  <c r="E23" i="141"/>
  <c r="E23" i="142"/>
  <c r="E23" i="143"/>
  <c r="D23" i="141"/>
  <c r="D23" i="142"/>
  <c r="D23" i="143"/>
  <c r="C23" i="141"/>
  <c r="C23" i="142"/>
  <c r="C23" i="143"/>
  <c r="H22" i="141"/>
  <c r="H22" i="142"/>
  <c r="H22" i="143"/>
  <c r="F22" i="141"/>
  <c r="F22" i="142"/>
  <c r="F22" i="143"/>
  <c r="E22" i="141"/>
  <c r="E22" i="142"/>
  <c r="E22" i="143"/>
  <c r="D22" i="141"/>
  <c r="D22" i="142"/>
  <c r="D22" i="143"/>
  <c r="C22" i="141"/>
  <c r="C22" i="142"/>
  <c r="C22" i="143"/>
  <c r="H21" i="141"/>
  <c r="H21" i="142"/>
  <c r="H21" i="143"/>
  <c r="G21" i="141"/>
  <c r="G21" i="142"/>
  <c r="G21" i="143"/>
  <c r="E21" i="141"/>
  <c r="E21" i="142"/>
  <c r="E21" i="143"/>
  <c r="D21" i="141"/>
  <c r="D21" i="142"/>
  <c r="D21" i="143"/>
  <c r="C21" i="141"/>
  <c r="C21" i="142"/>
  <c r="C21" i="143"/>
  <c r="H20" i="141"/>
  <c r="H20" i="142"/>
  <c r="H20" i="143"/>
  <c r="F20" i="141"/>
  <c r="F20" i="142"/>
  <c r="F20" i="143"/>
  <c r="E20" i="141"/>
  <c r="E20" i="142"/>
  <c r="E20" i="143"/>
  <c r="D20" i="141"/>
  <c r="D20" i="142"/>
  <c r="D20" i="143"/>
  <c r="C20" i="141"/>
  <c r="C20" i="142"/>
  <c r="C20" i="143"/>
  <c r="H19" i="141"/>
  <c r="H19" i="142"/>
  <c r="H19" i="143"/>
  <c r="G19" i="141"/>
  <c r="G19" i="142"/>
  <c r="G19" i="143"/>
  <c r="E19" i="141"/>
  <c r="E19" i="142"/>
  <c r="E19" i="143"/>
  <c r="D19" i="141"/>
  <c r="D19" i="142"/>
  <c r="D19" i="143"/>
  <c r="C19" i="141"/>
  <c r="C19" i="142"/>
  <c r="C19" i="143"/>
  <c r="H18" i="141"/>
  <c r="H18" i="142"/>
  <c r="H18" i="143"/>
  <c r="F18" i="141"/>
  <c r="F18" i="142"/>
  <c r="F18" i="143"/>
  <c r="E18" i="141"/>
  <c r="E18" i="142"/>
  <c r="E18" i="143"/>
  <c r="D18" i="141"/>
  <c r="D18" i="142"/>
  <c r="D18" i="143"/>
  <c r="C18" i="141"/>
  <c r="C18" i="142"/>
  <c r="C18" i="143"/>
  <c r="H17" i="141"/>
  <c r="H17" i="142"/>
  <c r="H17" i="143"/>
  <c r="G17" i="141"/>
  <c r="G17" i="142"/>
  <c r="G17" i="143"/>
  <c r="E17" i="141"/>
  <c r="E17" i="142"/>
  <c r="E17" i="143"/>
  <c r="D17" i="141"/>
  <c r="D17" i="142"/>
  <c r="D17" i="143"/>
  <c r="C17" i="141"/>
  <c r="C17" i="142"/>
  <c r="C17" i="143"/>
  <c r="H16" i="141"/>
  <c r="H16" i="142"/>
  <c r="H16" i="143"/>
  <c r="F16" i="141"/>
  <c r="F16" i="142"/>
  <c r="F16" i="143"/>
  <c r="E16" i="141"/>
  <c r="E16" i="142"/>
  <c r="E16" i="143"/>
  <c r="D16" i="141"/>
  <c r="D16" i="142"/>
  <c r="D16" i="143"/>
  <c r="C16" i="141"/>
  <c r="C16" i="142"/>
  <c r="C16" i="143"/>
  <c r="H15" i="141"/>
  <c r="H15" i="142"/>
  <c r="H15" i="143"/>
  <c r="G15" i="141"/>
  <c r="G15" i="142"/>
  <c r="G15" i="143"/>
  <c r="E15" i="141"/>
  <c r="E15" i="142"/>
  <c r="E15" i="143"/>
  <c r="D15" i="141"/>
  <c r="D15" i="142"/>
  <c r="D15" i="143"/>
  <c r="C15" i="141"/>
  <c r="C15" i="142"/>
  <c r="C15" i="143"/>
  <c r="H14" i="141"/>
  <c r="H14" i="142"/>
  <c r="H14" i="143"/>
  <c r="F14" i="141"/>
  <c r="F14" i="142"/>
  <c r="F14" i="143"/>
  <c r="E14" i="141"/>
  <c r="E14" i="142"/>
  <c r="E14" i="143"/>
  <c r="D14" i="141"/>
  <c r="D14" i="142"/>
  <c r="D14" i="143"/>
  <c r="C14" i="141"/>
  <c r="C14" i="142"/>
  <c r="C14" i="143"/>
  <c r="H13" i="141"/>
  <c r="H13" i="142"/>
  <c r="H13" i="143"/>
  <c r="G13" i="141"/>
  <c r="G13" i="142"/>
  <c r="G13" i="143"/>
  <c r="E13" i="141"/>
  <c r="E13" i="142"/>
  <c r="E13" i="143"/>
  <c r="D13" i="141"/>
  <c r="D13" i="142"/>
  <c r="D13" i="143"/>
  <c r="C13" i="141"/>
  <c r="C13" i="142"/>
  <c r="C13" i="143"/>
  <c r="H12" i="141"/>
  <c r="H12" i="142"/>
  <c r="H12" i="143"/>
  <c r="F12" i="141"/>
  <c r="F12" i="142"/>
  <c r="F12" i="143"/>
  <c r="E12" i="141"/>
  <c r="E12" i="142"/>
  <c r="E12" i="143"/>
  <c r="D12" i="141"/>
  <c r="D12" i="142"/>
  <c r="D12" i="143"/>
  <c r="C12" i="141"/>
  <c r="C12" i="142"/>
  <c r="C12" i="143"/>
  <c r="H11" i="141"/>
  <c r="H11" i="142"/>
  <c r="H11" i="143"/>
  <c r="G11" i="141"/>
  <c r="G11" i="142"/>
  <c r="G11" i="143"/>
  <c r="E11" i="141"/>
  <c r="E11" i="142"/>
  <c r="E11" i="143"/>
  <c r="D11" i="141"/>
  <c r="D11" i="142"/>
  <c r="D11" i="143"/>
  <c r="C11" i="141"/>
  <c r="C11" i="142"/>
  <c r="C11" i="143"/>
  <c r="G10" i="141"/>
  <c r="G10" i="142"/>
  <c r="G10" i="143"/>
  <c r="F10" i="141"/>
  <c r="F10" i="142"/>
  <c r="F10" i="143"/>
  <c r="E10" i="141"/>
  <c r="E10" i="142"/>
  <c r="E10" i="143"/>
  <c r="C10" i="141"/>
  <c r="C10" i="142"/>
  <c r="C10" i="143"/>
  <c r="H211" i="140"/>
  <c r="H210" i="140"/>
  <c r="H209" i="140"/>
  <c r="G209" i="140"/>
  <c r="F209" i="140"/>
  <c r="E209" i="140"/>
  <c r="D209" i="140"/>
  <c r="C209" i="140"/>
  <c r="H208" i="140"/>
  <c r="G208" i="140"/>
  <c r="F208" i="140"/>
  <c r="E208" i="140"/>
  <c r="D208" i="140"/>
  <c r="C208" i="140"/>
  <c r="H207" i="140"/>
  <c r="G207" i="140"/>
  <c r="F207" i="140"/>
  <c r="E207" i="140"/>
  <c r="D207" i="140"/>
  <c r="C207" i="140"/>
  <c r="H206" i="140"/>
  <c r="G206" i="140"/>
  <c r="F206" i="140"/>
  <c r="E206" i="140"/>
  <c r="D206" i="140"/>
  <c r="C206" i="140"/>
  <c r="H205" i="140"/>
  <c r="G205" i="140"/>
  <c r="F205" i="140"/>
  <c r="E205" i="140"/>
  <c r="D205" i="140"/>
  <c r="C205" i="140"/>
  <c r="H204" i="140"/>
  <c r="G204" i="140"/>
  <c r="F204" i="140"/>
  <c r="E204" i="140"/>
  <c r="D204" i="140"/>
  <c r="C204" i="140"/>
  <c r="H203" i="140"/>
  <c r="G203" i="140"/>
  <c r="F203" i="140"/>
  <c r="E203" i="140"/>
  <c r="D203" i="140"/>
  <c r="C203" i="140"/>
  <c r="H202" i="140"/>
  <c r="G202" i="140"/>
  <c r="F202" i="140"/>
  <c r="E202" i="140"/>
  <c r="D202" i="140"/>
  <c r="C202" i="140"/>
  <c r="H201" i="140"/>
  <c r="G201" i="140"/>
  <c r="F201" i="140"/>
  <c r="E201" i="140"/>
  <c r="D201" i="140"/>
  <c r="C201" i="140"/>
  <c r="H200" i="140"/>
  <c r="G200" i="140"/>
  <c r="F200" i="140"/>
  <c r="E200" i="140"/>
  <c r="D200" i="140"/>
  <c r="C200" i="140"/>
  <c r="H199" i="140"/>
  <c r="G199" i="140"/>
  <c r="F199" i="140"/>
  <c r="E199" i="140"/>
  <c r="D199" i="140"/>
  <c r="C199" i="140"/>
  <c r="H198" i="140"/>
  <c r="G198" i="140"/>
  <c r="F198" i="140"/>
  <c r="E198" i="140"/>
  <c r="D198" i="140"/>
  <c r="C198" i="140"/>
  <c r="H197" i="140"/>
  <c r="G197" i="140"/>
  <c r="F197" i="140"/>
  <c r="E197" i="140"/>
  <c r="D197" i="140"/>
  <c r="C197" i="140"/>
  <c r="H196" i="140"/>
  <c r="G196" i="140"/>
  <c r="F196" i="140"/>
  <c r="E196" i="140"/>
  <c r="D196" i="140"/>
  <c r="C196" i="140"/>
  <c r="H195" i="140"/>
  <c r="G195" i="140"/>
  <c r="F195" i="140"/>
  <c r="E195" i="140"/>
  <c r="D195" i="140"/>
  <c r="C195" i="140"/>
  <c r="H194" i="140"/>
  <c r="G194" i="140"/>
  <c r="F194" i="140"/>
  <c r="E194" i="140"/>
  <c r="D194" i="140"/>
  <c r="C194" i="140"/>
  <c r="H193" i="140"/>
  <c r="G193" i="140"/>
  <c r="F193" i="140"/>
  <c r="E193" i="140"/>
  <c r="D193" i="140"/>
  <c r="C193" i="140"/>
  <c r="H192" i="140"/>
  <c r="G192" i="140"/>
  <c r="F192" i="140"/>
  <c r="E192" i="140"/>
  <c r="D192" i="140"/>
  <c r="C192" i="140"/>
  <c r="H191" i="140"/>
  <c r="G191" i="140"/>
  <c r="F191" i="140"/>
  <c r="E191" i="140"/>
  <c r="D191" i="140"/>
  <c r="C191" i="140"/>
  <c r="H190" i="140"/>
  <c r="G190" i="140"/>
  <c r="F190" i="140"/>
  <c r="E190" i="140"/>
  <c r="D190" i="140"/>
  <c r="C190" i="140"/>
  <c r="H189" i="140"/>
  <c r="G189" i="140"/>
  <c r="F189" i="140"/>
  <c r="E189" i="140"/>
  <c r="D189" i="140"/>
  <c r="C189" i="140"/>
  <c r="H188" i="140"/>
  <c r="G188" i="140"/>
  <c r="F188" i="140"/>
  <c r="E188" i="140"/>
  <c r="D188" i="140"/>
  <c r="C188" i="140"/>
  <c r="H187" i="140"/>
  <c r="G187" i="140"/>
  <c r="F187" i="140"/>
  <c r="E187" i="140"/>
  <c r="D187" i="140"/>
  <c r="C187" i="140"/>
  <c r="H186" i="140"/>
  <c r="G186" i="140"/>
  <c r="F186" i="140"/>
  <c r="E186" i="140"/>
  <c r="D186" i="140"/>
  <c r="C186" i="140"/>
  <c r="H185" i="140"/>
  <c r="G185" i="140"/>
  <c r="F185" i="140"/>
  <c r="E185" i="140"/>
  <c r="D185" i="140"/>
  <c r="C185" i="140"/>
  <c r="H184" i="140"/>
  <c r="G184" i="140"/>
  <c r="F184" i="140"/>
  <c r="E184" i="140"/>
  <c r="D184" i="140"/>
  <c r="C184" i="140"/>
  <c r="H183" i="140"/>
  <c r="G183" i="140"/>
  <c r="F183" i="140"/>
  <c r="E183" i="140"/>
  <c r="D183" i="140"/>
  <c r="C183" i="140"/>
  <c r="H182" i="140"/>
  <c r="G182" i="140"/>
  <c r="F182" i="140"/>
  <c r="E182" i="140"/>
  <c r="D182" i="140"/>
  <c r="C182" i="140"/>
  <c r="H181" i="140"/>
  <c r="G181" i="140"/>
  <c r="F181" i="140"/>
  <c r="E181" i="140"/>
  <c r="D181" i="140"/>
  <c r="C181" i="140"/>
  <c r="H180" i="140"/>
  <c r="G180" i="140"/>
  <c r="F180" i="140"/>
  <c r="E180" i="140"/>
  <c r="D180" i="140"/>
  <c r="C180" i="140"/>
  <c r="H179" i="140"/>
  <c r="G179" i="140"/>
  <c r="F179" i="140"/>
  <c r="E179" i="140"/>
  <c r="D179" i="140"/>
  <c r="C179" i="140"/>
  <c r="H178" i="140"/>
  <c r="G178" i="140"/>
  <c r="F178" i="140"/>
  <c r="E178" i="140"/>
  <c r="D178" i="140"/>
  <c r="C178" i="140"/>
  <c r="H177" i="140"/>
  <c r="G177" i="140"/>
  <c r="F177" i="140"/>
  <c r="E177" i="140"/>
  <c r="D177" i="140"/>
  <c r="C177" i="140"/>
  <c r="H176" i="140"/>
  <c r="G176" i="140"/>
  <c r="F176" i="140"/>
  <c r="E176" i="140"/>
  <c r="D176" i="140"/>
  <c r="C176" i="140"/>
  <c r="H175" i="140"/>
  <c r="G175" i="140"/>
  <c r="F175" i="140"/>
  <c r="E175" i="140"/>
  <c r="D175" i="140"/>
  <c r="C175" i="140"/>
  <c r="H174" i="140"/>
  <c r="G174" i="140"/>
  <c r="F174" i="140"/>
  <c r="E174" i="140"/>
  <c r="D174" i="140"/>
  <c r="C174" i="140"/>
  <c r="H173" i="140"/>
  <c r="G173" i="140"/>
  <c r="F173" i="140"/>
  <c r="E173" i="140"/>
  <c r="D173" i="140"/>
  <c r="C173" i="140"/>
  <c r="H172" i="140"/>
  <c r="G172" i="140"/>
  <c r="F172" i="140"/>
  <c r="E172" i="140"/>
  <c r="D172" i="140"/>
  <c r="C172" i="140"/>
  <c r="H171" i="140"/>
  <c r="G171" i="140"/>
  <c r="F171" i="140"/>
  <c r="E171" i="140"/>
  <c r="D171" i="140"/>
  <c r="C171" i="140"/>
  <c r="H170" i="140"/>
  <c r="G170" i="140"/>
  <c r="F170" i="140"/>
  <c r="E170" i="140"/>
  <c r="D170" i="140"/>
  <c r="C170" i="140"/>
  <c r="H169" i="140"/>
  <c r="G169" i="140"/>
  <c r="F169" i="140"/>
  <c r="E169" i="140"/>
  <c r="D169" i="140"/>
  <c r="C169" i="140"/>
  <c r="H168" i="140"/>
  <c r="G168" i="140"/>
  <c r="F168" i="140"/>
  <c r="E168" i="140"/>
  <c r="D168" i="140"/>
  <c r="C168" i="140"/>
  <c r="H167" i="140"/>
  <c r="G167" i="140"/>
  <c r="F167" i="140"/>
  <c r="E167" i="140"/>
  <c r="D167" i="140"/>
  <c r="C167" i="140"/>
  <c r="H166" i="140"/>
  <c r="G166" i="140"/>
  <c r="F166" i="140"/>
  <c r="E166" i="140"/>
  <c r="D166" i="140"/>
  <c r="C166" i="140"/>
  <c r="H165" i="140"/>
  <c r="G165" i="140"/>
  <c r="F165" i="140"/>
  <c r="E165" i="140"/>
  <c r="D165" i="140"/>
  <c r="C165" i="140"/>
  <c r="H164" i="140"/>
  <c r="G164" i="140"/>
  <c r="F164" i="140"/>
  <c r="E164" i="140"/>
  <c r="D164" i="140"/>
  <c r="C164" i="140"/>
  <c r="H163" i="140"/>
  <c r="G163" i="140"/>
  <c r="F163" i="140"/>
  <c r="E163" i="140"/>
  <c r="D163" i="140"/>
  <c r="C163" i="140"/>
  <c r="H162" i="140"/>
  <c r="G162" i="140"/>
  <c r="F162" i="140"/>
  <c r="E162" i="140"/>
  <c r="D162" i="140"/>
  <c r="C162" i="140"/>
  <c r="H161" i="140"/>
  <c r="G161" i="140"/>
  <c r="F161" i="140"/>
  <c r="E161" i="140"/>
  <c r="D161" i="140"/>
  <c r="C161" i="140"/>
  <c r="H160" i="140"/>
  <c r="G160" i="140"/>
  <c r="F160" i="140"/>
  <c r="E160" i="140"/>
  <c r="D160" i="140"/>
  <c r="C160" i="140"/>
  <c r="H159" i="140"/>
  <c r="G159" i="140"/>
  <c r="F159" i="140"/>
  <c r="E159" i="140"/>
  <c r="D159" i="140"/>
  <c r="C159" i="140"/>
  <c r="H158" i="140"/>
  <c r="G158" i="140"/>
  <c r="F158" i="140"/>
  <c r="E158" i="140"/>
  <c r="D158" i="140"/>
  <c r="C158" i="140"/>
  <c r="H157" i="140"/>
  <c r="G157" i="140"/>
  <c r="F157" i="140"/>
  <c r="E157" i="140"/>
  <c r="D157" i="140"/>
  <c r="C157" i="140"/>
  <c r="H156" i="140"/>
  <c r="G156" i="140"/>
  <c r="F156" i="140"/>
  <c r="E156" i="140"/>
  <c r="D156" i="140"/>
  <c r="C156" i="140"/>
  <c r="H155" i="140"/>
  <c r="G155" i="140"/>
  <c r="F155" i="140"/>
  <c r="E155" i="140"/>
  <c r="D155" i="140"/>
  <c r="C155" i="140"/>
  <c r="H154" i="140"/>
  <c r="G154" i="140"/>
  <c r="F154" i="140"/>
  <c r="E154" i="140"/>
  <c r="D154" i="140"/>
  <c r="C154" i="140"/>
  <c r="H153" i="140"/>
  <c r="G153" i="140"/>
  <c r="F153" i="140"/>
  <c r="E153" i="140"/>
  <c r="D153" i="140"/>
  <c r="C153" i="140"/>
  <c r="H152" i="140"/>
  <c r="G152" i="140"/>
  <c r="F152" i="140"/>
  <c r="E152" i="140"/>
  <c r="D152" i="140"/>
  <c r="C152" i="140"/>
  <c r="H151" i="140"/>
  <c r="G151" i="140"/>
  <c r="F151" i="140"/>
  <c r="E151" i="140"/>
  <c r="D151" i="140"/>
  <c r="C151" i="140"/>
  <c r="H150" i="140"/>
  <c r="G150" i="140"/>
  <c r="F150" i="140"/>
  <c r="E150" i="140"/>
  <c r="D150" i="140"/>
  <c r="C150" i="140"/>
  <c r="H149" i="140"/>
  <c r="G149" i="140"/>
  <c r="F149" i="140"/>
  <c r="E149" i="140"/>
  <c r="D149" i="140"/>
  <c r="C149" i="140"/>
  <c r="H148" i="140"/>
  <c r="G148" i="140"/>
  <c r="F148" i="140"/>
  <c r="E148" i="140"/>
  <c r="D148" i="140"/>
  <c r="C148" i="140"/>
  <c r="H147" i="140"/>
  <c r="G147" i="140"/>
  <c r="F147" i="140"/>
  <c r="E147" i="140"/>
  <c r="D147" i="140"/>
  <c r="C147" i="140"/>
  <c r="H146" i="140"/>
  <c r="G146" i="140"/>
  <c r="F146" i="140"/>
  <c r="E146" i="140"/>
  <c r="D146" i="140"/>
  <c r="C146" i="140"/>
  <c r="H145" i="140"/>
  <c r="G145" i="140"/>
  <c r="F145" i="140"/>
  <c r="E145" i="140"/>
  <c r="D145" i="140"/>
  <c r="C145" i="140"/>
  <c r="H144" i="140"/>
  <c r="G144" i="140"/>
  <c r="F144" i="140"/>
  <c r="E144" i="140"/>
  <c r="D144" i="140"/>
  <c r="C144" i="140"/>
  <c r="H143" i="140"/>
  <c r="G143" i="140"/>
  <c r="F143" i="140"/>
  <c r="E143" i="140"/>
  <c r="D143" i="140"/>
  <c r="C143" i="140"/>
  <c r="H142" i="140"/>
  <c r="G142" i="140"/>
  <c r="F142" i="140"/>
  <c r="E142" i="140"/>
  <c r="D142" i="140"/>
  <c r="C142" i="140"/>
  <c r="H141" i="140"/>
  <c r="G141" i="140"/>
  <c r="F141" i="140"/>
  <c r="E141" i="140"/>
  <c r="D141" i="140"/>
  <c r="C141" i="140"/>
  <c r="H140" i="140"/>
  <c r="G140" i="140"/>
  <c r="F140" i="140"/>
  <c r="E140" i="140"/>
  <c r="D140" i="140"/>
  <c r="C140" i="140"/>
  <c r="H139" i="140"/>
  <c r="G139" i="140"/>
  <c r="F139" i="140"/>
  <c r="E139" i="140"/>
  <c r="D139" i="140"/>
  <c r="C139" i="140"/>
  <c r="H138" i="140"/>
  <c r="G138" i="140"/>
  <c r="F138" i="140"/>
  <c r="E138" i="140"/>
  <c r="D138" i="140"/>
  <c r="C138" i="140"/>
  <c r="H137" i="140"/>
  <c r="G137" i="140"/>
  <c r="F137" i="140"/>
  <c r="E137" i="140"/>
  <c r="D137" i="140"/>
  <c r="C137" i="140"/>
  <c r="H136" i="140"/>
  <c r="G136" i="140"/>
  <c r="F136" i="140"/>
  <c r="E136" i="140"/>
  <c r="D136" i="140"/>
  <c r="C136" i="140"/>
  <c r="H135" i="140"/>
  <c r="G135" i="140"/>
  <c r="F135" i="140"/>
  <c r="E135" i="140"/>
  <c r="D135" i="140"/>
  <c r="C135" i="140"/>
  <c r="H134" i="140"/>
  <c r="G134" i="140"/>
  <c r="F134" i="140"/>
  <c r="E134" i="140"/>
  <c r="D134" i="140"/>
  <c r="C134" i="140"/>
  <c r="H133" i="140"/>
  <c r="G133" i="140"/>
  <c r="F133" i="140"/>
  <c r="E133" i="140"/>
  <c r="D133" i="140"/>
  <c r="C133" i="140"/>
  <c r="H132" i="140"/>
  <c r="G132" i="140"/>
  <c r="F132" i="140"/>
  <c r="E132" i="140"/>
  <c r="D132" i="140"/>
  <c r="C132" i="140"/>
  <c r="H131" i="140"/>
  <c r="G131" i="140"/>
  <c r="F131" i="140"/>
  <c r="E131" i="140"/>
  <c r="D131" i="140"/>
  <c r="C131" i="140"/>
  <c r="H130" i="140"/>
  <c r="G130" i="140"/>
  <c r="F130" i="140"/>
  <c r="E130" i="140"/>
  <c r="D130" i="140"/>
  <c r="C130" i="140"/>
  <c r="H129" i="140"/>
  <c r="G129" i="140"/>
  <c r="F129" i="140"/>
  <c r="E129" i="140"/>
  <c r="D129" i="140"/>
  <c r="C129" i="140"/>
  <c r="H128" i="140"/>
  <c r="G128" i="140"/>
  <c r="F128" i="140"/>
  <c r="E128" i="140"/>
  <c r="D128" i="140"/>
  <c r="C128" i="140"/>
  <c r="H127" i="140"/>
  <c r="G127" i="140"/>
  <c r="F127" i="140"/>
  <c r="E127" i="140"/>
  <c r="D127" i="140"/>
  <c r="C127" i="140"/>
  <c r="H126" i="140"/>
  <c r="G126" i="140"/>
  <c r="F126" i="140"/>
  <c r="E126" i="140"/>
  <c r="D126" i="140"/>
  <c r="C126" i="140"/>
  <c r="H125" i="140"/>
  <c r="G125" i="140"/>
  <c r="F125" i="140"/>
  <c r="E125" i="140"/>
  <c r="D125" i="140"/>
  <c r="C125" i="140"/>
  <c r="H124" i="140"/>
  <c r="G124" i="140"/>
  <c r="F124" i="140"/>
  <c r="E124" i="140"/>
  <c r="D124" i="140"/>
  <c r="C124" i="140"/>
  <c r="H123" i="140"/>
  <c r="G123" i="140"/>
  <c r="F123" i="140"/>
  <c r="E123" i="140"/>
  <c r="D123" i="140"/>
  <c r="C123" i="140"/>
  <c r="H122" i="140"/>
  <c r="G122" i="140"/>
  <c r="F122" i="140"/>
  <c r="E122" i="140"/>
  <c r="D122" i="140"/>
  <c r="C122" i="140"/>
  <c r="H121" i="140"/>
  <c r="G121" i="140"/>
  <c r="F121" i="140"/>
  <c r="E121" i="140"/>
  <c r="D121" i="140"/>
  <c r="C121" i="140"/>
  <c r="H120" i="140"/>
  <c r="G120" i="140"/>
  <c r="F120" i="140"/>
  <c r="E120" i="140"/>
  <c r="D120" i="140"/>
  <c r="C120" i="140"/>
  <c r="H119" i="140"/>
  <c r="G119" i="140"/>
  <c r="F119" i="140"/>
  <c r="E119" i="140"/>
  <c r="D119" i="140"/>
  <c r="C119" i="140"/>
  <c r="H118" i="140"/>
  <c r="G118" i="140"/>
  <c r="F118" i="140"/>
  <c r="E118" i="140"/>
  <c r="D118" i="140"/>
  <c r="C118" i="140"/>
  <c r="H117" i="140"/>
  <c r="G117" i="140"/>
  <c r="F117" i="140"/>
  <c r="E117" i="140"/>
  <c r="D117" i="140"/>
  <c r="C117" i="140"/>
  <c r="H116" i="140"/>
  <c r="G116" i="140"/>
  <c r="F116" i="140"/>
  <c r="E116" i="140"/>
  <c r="D116" i="140"/>
  <c r="C116" i="140"/>
  <c r="H115" i="140"/>
  <c r="G115" i="140"/>
  <c r="F115" i="140"/>
  <c r="E115" i="140"/>
  <c r="D115" i="140"/>
  <c r="C115" i="140"/>
  <c r="H114" i="140"/>
  <c r="G114" i="140"/>
  <c r="F114" i="140"/>
  <c r="E114" i="140"/>
  <c r="D114" i="140"/>
  <c r="C114" i="140"/>
  <c r="H113" i="140"/>
  <c r="G113" i="140"/>
  <c r="F113" i="140"/>
  <c r="E113" i="140"/>
  <c r="D113" i="140"/>
  <c r="C113" i="140"/>
  <c r="H112" i="140"/>
  <c r="G112" i="140"/>
  <c r="F112" i="140"/>
  <c r="E112" i="140"/>
  <c r="D112" i="140"/>
  <c r="C112" i="140"/>
  <c r="H111" i="140"/>
  <c r="G111" i="140"/>
  <c r="F111" i="140"/>
  <c r="E111" i="140"/>
  <c r="D111" i="140"/>
  <c r="C111" i="140"/>
  <c r="H110" i="140"/>
  <c r="G110" i="140"/>
  <c r="F110" i="140"/>
  <c r="E110" i="140"/>
  <c r="D110" i="140"/>
  <c r="C110" i="140"/>
  <c r="H109" i="140"/>
  <c r="G109" i="140"/>
  <c r="F109" i="140"/>
  <c r="E109" i="140"/>
  <c r="D109" i="140"/>
  <c r="C109" i="140"/>
  <c r="H108" i="140"/>
  <c r="G108" i="140"/>
  <c r="F108" i="140"/>
  <c r="E108" i="140"/>
  <c r="D108" i="140"/>
  <c r="C108" i="140"/>
  <c r="H107" i="140"/>
  <c r="G107" i="140"/>
  <c r="F107" i="140"/>
  <c r="E107" i="140"/>
  <c r="D107" i="140"/>
  <c r="C107" i="140"/>
  <c r="H106" i="140"/>
  <c r="G106" i="140"/>
  <c r="F106" i="140"/>
  <c r="E106" i="140"/>
  <c r="D106" i="140"/>
  <c r="C106" i="140"/>
  <c r="H105" i="140"/>
  <c r="G105" i="140"/>
  <c r="F105" i="140"/>
  <c r="E105" i="140"/>
  <c r="D105" i="140"/>
  <c r="C105" i="140"/>
  <c r="H104" i="140"/>
  <c r="G104" i="140"/>
  <c r="F104" i="140"/>
  <c r="E104" i="140"/>
  <c r="D104" i="140"/>
  <c r="C104" i="140"/>
  <c r="H103" i="140"/>
  <c r="G103" i="140"/>
  <c r="F103" i="140"/>
  <c r="E103" i="140"/>
  <c r="D103" i="140"/>
  <c r="C103" i="140"/>
  <c r="H102" i="140"/>
  <c r="G102" i="140"/>
  <c r="F102" i="140"/>
  <c r="E102" i="140"/>
  <c r="D102" i="140"/>
  <c r="C102" i="140"/>
  <c r="H101" i="140"/>
  <c r="G101" i="140"/>
  <c r="F101" i="140"/>
  <c r="E101" i="140"/>
  <c r="D101" i="140"/>
  <c r="C101" i="140"/>
  <c r="H100" i="140"/>
  <c r="G100" i="140"/>
  <c r="F100" i="140"/>
  <c r="E100" i="140"/>
  <c r="D100" i="140"/>
  <c r="C100" i="140"/>
  <c r="H99" i="140"/>
  <c r="G99" i="140"/>
  <c r="F99" i="140"/>
  <c r="E99" i="140"/>
  <c r="D99" i="140"/>
  <c r="C99" i="140"/>
  <c r="H98" i="140"/>
  <c r="G98" i="140"/>
  <c r="F98" i="140"/>
  <c r="E98" i="140"/>
  <c r="D98" i="140"/>
  <c r="C98" i="140"/>
  <c r="H97" i="140"/>
  <c r="G97" i="140"/>
  <c r="F97" i="140"/>
  <c r="E97" i="140"/>
  <c r="D97" i="140"/>
  <c r="C97" i="140"/>
  <c r="H96" i="140"/>
  <c r="G96" i="140"/>
  <c r="F96" i="140"/>
  <c r="E96" i="140"/>
  <c r="D96" i="140"/>
  <c r="C96" i="140"/>
  <c r="H95" i="140"/>
  <c r="G95" i="140"/>
  <c r="F95" i="140"/>
  <c r="E95" i="140"/>
  <c r="D95" i="140"/>
  <c r="C95" i="140"/>
  <c r="H94" i="140"/>
  <c r="G94" i="140"/>
  <c r="F94" i="140"/>
  <c r="E94" i="140"/>
  <c r="D94" i="140"/>
  <c r="C94" i="140"/>
  <c r="H93" i="140"/>
  <c r="G93" i="140"/>
  <c r="F93" i="140"/>
  <c r="E93" i="140"/>
  <c r="D93" i="140"/>
  <c r="C93" i="140"/>
  <c r="H92" i="140"/>
  <c r="G92" i="140"/>
  <c r="F92" i="140"/>
  <c r="E92" i="140"/>
  <c r="D92" i="140"/>
  <c r="C92" i="140"/>
  <c r="H91" i="140"/>
  <c r="G91" i="140"/>
  <c r="F91" i="140"/>
  <c r="E91" i="140"/>
  <c r="D91" i="140"/>
  <c r="C91" i="140"/>
  <c r="H90" i="140"/>
  <c r="G90" i="140"/>
  <c r="F90" i="140"/>
  <c r="E90" i="140"/>
  <c r="D90" i="140"/>
  <c r="C90" i="140"/>
  <c r="H89" i="140"/>
  <c r="G89" i="140"/>
  <c r="F89" i="140"/>
  <c r="E89" i="140"/>
  <c r="D89" i="140"/>
  <c r="C89" i="140"/>
  <c r="H88" i="140"/>
  <c r="G88" i="140"/>
  <c r="F88" i="140"/>
  <c r="E88" i="140"/>
  <c r="D88" i="140"/>
  <c r="C88" i="140"/>
  <c r="H87" i="140"/>
  <c r="G87" i="140"/>
  <c r="F87" i="140"/>
  <c r="E87" i="140"/>
  <c r="D87" i="140"/>
  <c r="C87" i="140"/>
  <c r="H86" i="140"/>
  <c r="G86" i="140"/>
  <c r="F86" i="140"/>
  <c r="E86" i="140"/>
  <c r="D86" i="140"/>
  <c r="C86" i="140"/>
  <c r="H85" i="140"/>
  <c r="G85" i="140"/>
  <c r="F85" i="140"/>
  <c r="E85" i="140"/>
  <c r="D85" i="140"/>
  <c r="C85" i="140"/>
  <c r="H84" i="140"/>
  <c r="G84" i="140"/>
  <c r="F84" i="140"/>
  <c r="E84" i="140"/>
  <c r="D84" i="140"/>
  <c r="C84" i="140"/>
  <c r="H83" i="140"/>
  <c r="G83" i="140"/>
  <c r="F83" i="140"/>
  <c r="E83" i="140"/>
  <c r="D83" i="140"/>
  <c r="C83" i="140"/>
  <c r="H82" i="140"/>
  <c r="G82" i="140"/>
  <c r="F82" i="140"/>
  <c r="E82" i="140"/>
  <c r="D82" i="140"/>
  <c r="C82" i="140"/>
  <c r="H81" i="140"/>
  <c r="G81" i="140"/>
  <c r="F81" i="140"/>
  <c r="E81" i="140"/>
  <c r="D81" i="140"/>
  <c r="C81" i="140"/>
  <c r="H80" i="140"/>
  <c r="G80" i="140"/>
  <c r="F80" i="140"/>
  <c r="E80" i="140"/>
  <c r="D80" i="140"/>
  <c r="C80" i="140"/>
  <c r="H79" i="140"/>
  <c r="G79" i="140"/>
  <c r="F79" i="140"/>
  <c r="E79" i="140"/>
  <c r="D79" i="140"/>
  <c r="C79" i="140"/>
  <c r="H78" i="140"/>
  <c r="G78" i="140"/>
  <c r="F78" i="140"/>
  <c r="E78" i="140"/>
  <c r="D78" i="140"/>
  <c r="C78" i="140"/>
  <c r="H77" i="140"/>
  <c r="G77" i="140"/>
  <c r="F77" i="140"/>
  <c r="E77" i="140"/>
  <c r="D77" i="140"/>
  <c r="C77" i="140"/>
  <c r="H76" i="140"/>
  <c r="G76" i="140"/>
  <c r="F76" i="140"/>
  <c r="E76" i="140"/>
  <c r="D76" i="140"/>
  <c r="C76" i="140"/>
  <c r="H75" i="140"/>
  <c r="G75" i="140"/>
  <c r="F75" i="140"/>
  <c r="E75" i="140"/>
  <c r="D75" i="140"/>
  <c r="C75" i="140"/>
  <c r="H74" i="140"/>
  <c r="G74" i="140"/>
  <c r="F74" i="140"/>
  <c r="E74" i="140"/>
  <c r="D74" i="140"/>
  <c r="C74" i="140"/>
  <c r="H73" i="140"/>
  <c r="G73" i="140"/>
  <c r="F73" i="140"/>
  <c r="E73" i="140"/>
  <c r="D73" i="140"/>
  <c r="C73" i="140"/>
  <c r="H72" i="140"/>
  <c r="G72" i="140"/>
  <c r="F72" i="140"/>
  <c r="E72" i="140"/>
  <c r="D72" i="140"/>
  <c r="C72" i="140"/>
  <c r="H71" i="140"/>
  <c r="G71" i="140"/>
  <c r="F71" i="140"/>
  <c r="E71" i="140"/>
  <c r="D71" i="140"/>
  <c r="C71" i="140"/>
  <c r="H70" i="140"/>
  <c r="G70" i="140"/>
  <c r="F70" i="140"/>
  <c r="E70" i="140"/>
  <c r="D70" i="140"/>
  <c r="C70" i="140"/>
  <c r="H69" i="140"/>
  <c r="G69" i="140"/>
  <c r="F69" i="140"/>
  <c r="E69" i="140"/>
  <c r="D69" i="140"/>
  <c r="C69" i="140"/>
  <c r="H68" i="140"/>
  <c r="G68" i="140"/>
  <c r="F68" i="140"/>
  <c r="E68" i="140"/>
  <c r="D68" i="140"/>
  <c r="C68" i="140"/>
  <c r="H67" i="140"/>
  <c r="G67" i="140"/>
  <c r="F67" i="140"/>
  <c r="E67" i="140"/>
  <c r="D67" i="140"/>
  <c r="C67" i="140"/>
  <c r="H66" i="140"/>
  <c r="G66" i="140"/>
  <c r="F66" i="140"/>
  <c r="E66" i="140"/>
  <c r="D66" i="140"/>
  <c r="C66" i="140"/>
  <c r="H65" i="140"/>
  <c r="G65" i="140"/>
  <c r="F65" i="140"/>
  <c r="E65" i="140"/>
  <c r="D65" i="140"/>
  <c r="C65" i="140"/>
  <c r="H64" i="140"/>
  <c r="G64" i="140"/>
  <c r="F64" i="140"/>
  <c r="E64" i="140"/>
  <c r="D64" i="140"/>
  <c r="C64" i="140"/>
  <c r="H63" i="140"/>
  <c r="G63" i="140"/>
  <c r="F63" i="140"/>
  <c r="E63" i="140"/>
  <c r="D63" i="140"/>
  <c r="C63" i="140"/>
  <c r="H62" i="140"/>
  <c r="G62" i="140"/>
  <c r="F62" i="140"/>
  <c r="E62" i="140"/>
  <c r="D62" i="140"/>
  <c r="C62" i="140"/>
  <c r="H61" i="140"/>
  <c r="G61" i="140"/>
  <c r="F61" i="140"/>
  <c r="E61" i="140"/>
  <c r="D61" i="140"/>
  <c r="C61" i="140"/>
  <c r="H60" i="140"/>
  <c r="G60" i="140"/>
  <c r="F60" i="140"/>
  <c r="E60" i="140"/>
  <c r="D60" i="140"/>
  <c r="C60" i="140"/>
  <c r="H59" i="140"/>
  <c r="G59" i="140"/>
  <c r="F59" i="140"/>
  <c r="E59" i="140"/>
  <c r="D59" i="140"/>
  <c r="C59" i="140"/>
  <c r="H58" i="140"/>
  <c r="G58" i="140"/>
  <c r="F58" i="140"/>
  <c r="E58" i="140"/>
  <c r="D58" i="140"/>
  <c r="C58" i="140"/>
  <c r="H57" i="140"/>
  <c r="G57" i="140"/>
  <c r="F57" i="140"/>
  <c r="E57" i="140"/>
  <c r="D57" i="140"/>
  <c r="C57" i="140"/>
  <c r="H56" i="140"/>
  <c r="G56" i="140"/>
  <c r="F56" i="140"/>
  <c r="E56" i="140"/>
  <c r="D56" i="140"/>
  <c r="C56" i="140"/>
  <c r="H55" i="140"/>
  <c r="G55" i="140"/>
  <c r="F55" i="140"/>
  <c r="E55" i="140"/>
  <c r="D55" i="140"/>
  <c r="C55" i="140"/>
  <c r="H53" i="140"/>
  <c r="G53" i="140"/>
  <c r="F53" i="140"/>
  <c r="E53" i="140"/>
  <c r="D53" i="140"/>
  <c r="C53" i="140"/>
  <c r="H52" i="140"/>
  <c r="G52" i="140"/>
  <c r="F52" i="140"/>
  <c r="E52" i="140"/>
  <c r="D52" i="140"/>
  <c r="C52" i="140"/>
  <c r="H51" i="140"/>
  <c r="G51" i="140"/>
  <c r="F51" i="140"/>
  <c r="E51" i="140"/>
  <c r="D51" i="140"/>
  <c r="C51" i="140"/>
  <c r="H50" i="140"/>
  <c r="G50" i="140"/>
  <c r="F50" i="140"/>
  <c r="E50" i="140"/>
  <c r="D50" i="140"/>
  <c r="C50" i="140"/>
  <c r="H49" i="140"/>
  <c r="G49" i="140"/>
  <c r="F49" i="140"/>
  <c r="E49" i="140"/>
  <c r="D49" i="140"/>
  <c r="C49" i="140"/>
  <c r="H48" i="140"/>
  <c r="G48" i="140"/>
  <c r="F48" i="140"/>
  <c r="E48" i="140"/>
  <c r="D48" i="140"/>
  <c r="C48" i="140"/>
  <c r="H47" i="140"/>
  <c r="G47" i="140"/>
  <c r="F47" i="140"/>
  <c r="E47" i="140"/>
  <c r="D47" i="140"/>
  <c r="C47" i="140"/>
  <c r="H46" i="140"/>
  <c r="G46" i="140"/>
  <c r="F46" i="140"/>
  <c r="E46" i="140"/>
  <c r="D46" i="140"/>
  <c r="C46" i="140"/>
  <c r="H45" i="140"/>
  <c r="G45" i="140"/>
  <c r="F45" i="140"/>
  <c r="E45" i="140"/>
  <c r="D45" i="140"/>
  <c r="C45" i="140"/>
  <c r="H44" i="140"/>
  <c r="G44" i="140"/>
  <c r="F44" i="140"/>
  <c r="E44" i="140"/>
  <c r="D44" i="140"/>
  <c r="C44" i="140"/>
  <c r="H43" i="140"/>
  <c r="G43" i="140"/>
  <c r="F43" i="140"/>
  <c r="E43" i="140"/>
  <c r="D43" i="140"/>
  <c r="C43" i="140"/>
  <c r="H42" i="140"/>
  <c r="G42" i="140"/>
  <c r="F42" i="140"/>
  <c r="E42" i="140"/>
  <c r="D42" i="140"/>
  <c r="C42" i="140"/>
  <c r="H41" i="140"/>
  <c r="G41" i="140"/>
  <c r="F41" i="140"/>
  <c r="E41" i="140"/>
  <c r="D41" i="140"/>
  <c r="C41" i="140"/>
  <c r="H40" i="140"/>
  <c r="G40" i="140"/>
  <c r="F40" i="140"/>
  <c r="E40" i="140"/>
  <c r="D40" i="140"/>
  <c r="C40" i="140"/>
  <c r="H39" i="140"/>
  <c r="G39" i="140"/>
  <c r="F39" i="140"/>
  <c r="E39" i="140"/>
  <c r="D39" i="140"/>
  <c r="C39" i="140"/>
  <c r="H38" i="140"/>
  <c r="G38" i="140"/>
  <c r="F38" i="140"/>
  <c r="E38" i="140"/>
  <c r="D38" i="140"/>
  <c r="C38" i="140"/>
  <c r="H37" i="140"/>
  <c r="G37" i="140"/>
  <c r="F37" i="140"/>
  <c r="E37" i="140"/>
  <c r="D37" i="140"/>
  <c r="C37" i="140"/>
  <c r="H36" i="140"/>
  <c r="G36" i="140"/>
  <c r="F36" i="140"/>
  <c r="E36" i="140"/>
  <c r="D36" i="140"/>
  <c r="C36" i="140"/>
  <c r="H35" i="140"/>
  <c r="G35" i="140"/>
  <c r="F35" i="140"/>
  <c r="E35" i="140"/>
  <c r="D35" i="140"/>
  <c r="C35" i="140"/>
  <c r="H34" i="140"/>
  <c r="G34" i="140"/>
  <c r="F34" i="140"/>
  <c r="E34" i="140"/>
  <c r="D34" i="140"/>
  <c r="C34" i="140"/>
  <c r="H33" i="140"/>
  <c r="G33" i="140"/>
  <c r="F33" i="140"/>
  <c r="E33" i="140"/>
  <c r="D33" i="140"/>
  <c r="C33" i="140"/>
  <c r="H32" i="140"/>
  <c r="G32" i="140"/>
  <c r="F32" i="140"/>
  <c r="E32" i="140"/>
  <c r="D32" i="140"/>
  <c r="C32" i="140"/>
  <c r="H31" i="140"/>
  <c r="G31" i="140"/>
  <c r="F31" i="140"/>
  <c r="E31" i="140"/>
  <c r="D31" i="140"/>
  <c r="C31" i="140"/>
  <c r="H30" i="140"/>
  <c r="G30" i="140"/>
  <c r="F30" i="140"/>
  <c r="E30" i="140"/>
  <c r="D30" i="140"/>
  <c r="C30" i="140"/>
  <c r="H29" i="140"/>
  <c r="G29" i="140"/>
  <c r="F29" i="140"/>
  <c r="E29" i="140"/>
  <c r="D29" i="140"/>
  <c r="C29" i="140"/>
  <c r="H28" i="140"/>
  <c r="G28" i="140"/>
  <c r="F28" i="140"/>
  <c r="E28" i="140"/>
  <c r="D28" i="140"/>
  <c r="C28" i="140"/>
  <c r="H27" i="140"/>
  <c r="G27" i="140"/>
  <c r="F27" i="140"/>
  <c r="E27" i="140"/>
  <c r="D27" i="140"/>
  <c r="C27" i="140"/>
  <c r="H26" i="140"/>
  <c r="G26" i="140"/>
  <c r="F26" i="140"/>
  <c r="E26" i="140"/>
  <c r="D26" i="140"/>
  <c r="C26" i="140"/>
  <c r="H25" i="140"/>
  <c r="G25" i="140"/>
  <c r="F25" i="140"/>
  <c r="E25" i="140"/>
  <c r="D25" i="140"/>
  <c r="C25" i="140"/>
  <c r="H24" i="140"/>
  <c r="G24" i="140"/>
  <c r="F24" i="140"/>
  <c r="E24" i="140"/>
  <c r="D24" i="140"/>
  <c r="C24" i="140"/>
  <c r="H23" i="140"/>
  <c r="G23" i="140"/>
  <c r="F23" i="140"/>
  <c r="E23" i="140"/>
  <c r="D23" i="140"/>
  <c r="C23" i="140"/>
  <c r="H22" i="140"/>
  <c r="G22" i="140"/>
  <c r="F22" i="140"/>
  <c r="E22" i="140"/>
  <c r="D22" i="140"/>
  <c r="C22" i="140"/>
  <c r="H21" i="140"/>
  <c r="G21" i="140"/>
  <c r="F21" i="140"/>
  <c r="E21" i="140"/>
  <c r="D21" i="140"/>
  <c r="C21" i="140"/>
  <c r="H20" i="140"/>
  <c r="G20" i="140"/>
  <c r="F20" i="140"/>
  <c r="E20" i="140"/>
  <c r="D20" i="140"/>
  <c r="C20" i="140"/>
  <c r="H19" i="140"/>
  <c r="G19" i="140"/>
  <c r="F19" i="140"/>
  <c r="E19" i="140"/>
  <c r="D19" i="140"/>
  <c r="C19" i="140"/>
  <c r="H18" i="140"/>
  <c r="G18" i="140"/>
  <c r="F18" i="140"/>
  <c r="E18" i="140"/>
  <c r="D18" i="140"/>
  <c r="C18" i="140"/>
  <c r="H17" i="140"/>
  <c r="G17" i="140"/>
  <c r="F17" i="140"/>
  <c r="E17" i="140"/>
  <c r="D17" i="140"/>
  <c r="C17" i="140"/>
  <c r="H16" i="140"/>
  <c r="G16" i="140"/>
  <c r="F16" i="140"/>
  <c r="E16" i="140"/>
  <c r="D16" i="140"/>
  <c r="C16" i="140"/>
  <c r="H15" i="140"/>
  <c r="G15" i="140"/>
  <c r="F15" i="140"/>
  <c r="E15" i="140"/>
  <c r="D15" i="140"/>
  <c r="C15" i="140"/>
  <c r="H14" i="140"/>
  <c r="G14" i="140"/>
  <c r="F14" i="140"/>
  <c r="E14" i="140"/>
  <c r="D14" i="140"/>
  <c r="C14" i="140"/>
  <c r="H13" i="140"/>
  <c r="G13" i="140"/>
  <c r="F13" i="140"/>
  <c r="E13" i="140"/>
  <c r="D13" i="140"/>
  <c r="C13" i="140"/>
  <c r="H12" i="140"/>
  <c r="G12" i="140"/>
  <c r="F12" i="140"/>
  <c r="E12" i="140"/>
  <c r="D12" i="140"/>
  <c r="C12" i="140"/>
  <c r="H11" i="140"/>
  <c r="G11" i="140"/>
  <c r="F11" i="140"/>
  <c r="E11" i="140"/>
  <c r="D11" i="140"/>
  <c r="C11" i="140"/>
  <c r="H10" i="140"/>
  <c r="G10" i="140"/>
  <c r="F10" i="140"/>
  <c r="E10" i="140"/>
  <c r="D10" i="140"/>
  <c r="C10" i="140"/>
  <c r="E34" i="117"/>
  <c r="E35" i="117"/>
  <c r="P12" i="103"/>
  <c r="P11" i="103"/>
  <c r="K8" i="96"/>
  <c r="K40" i="6"/>
  <c r="K32" i="6"/>
  <c r="L32" i="6"/>
  <c r="M32" i="6"/>
  <c r="K17" i="6"/>
  <c r="L17" i="6"/>
  <c r="M17" i="6"/>
  <c r="K47" i="6"/>
  <c r="I10" i="4"/>
  <c r="I17" i="4"/>
  <c r="N12" i="103"/>
  <c r="J20" i="103"/>
  <c r="M12" i="103"/>
  <c r="L14" i="19"/>
  <c r="J14" i="19"/>
  <c r="M11" i="103"/>
  <c r="N11" i="103"/>
  <c r="I14" i="19"/>
  <c r="I20" i="103"/>
  <c r="J22" i="137"/>
  <c r="J8" i="137"/>
  <c r="E45" i="17"/>
  <c r="D6" i="100"/>
  <c r="D26" i="65"/>
  <c r="R34" i="17"/>
  <c r="L12" i="103"/>
  <c r="L11" i="103"/>
  <c r="I6" i="47"/>
  <c r="I15" i="47"/>
  <c r="K6" i="47"/>
  <c r="K15" i="47" s="1"/>
  <c r="D18" i="103"/>
  <c r="H18" i="103" s="1"/>
  <c r="J25" i="24"/>
  <c r="K25" i="24"/>
  <c r="C37" i="137"/>
  <c r="C39" i="137" s="1"/>
  <c r="D37" i="137"/>
  <c r="D39" i="137" s="1"/>
  <c r="H50" i="61"/>
  <c r="I26" i="137"/>
  <c r="I28" i="137" s="1"/>
  <c r="I27" i="137"/>
  <c r="I29" i="137" s="1"/>
  <c r="I23" i="137"/>
  <c r="H23" i="137"/>
  <c r="H25" i="137" s="1"/>
  <c r="H26" i="137" s="1"/>
  <c r="H28" i="137" s="1"/>
  <c r="H13" i="137"/>
  <c r="I11" i="137"/>
  <c r="I13" i="137" s="1"/>
  <c r="I14" i="137" s="1"/>
  <c r="I15" i="137" s="1"/>
  <c r="D25" i="137"/>
  <c r="D26" i="137" s="1"/>
  <c r="D28" i="137" s="1"/>
  <c r="E25" i="137"/>
  <c r="E26" i="137" s="1"/>
  <c r="E28" i="137" s="1"/>
  <c r="F25" i="137"/>
  <c r="F27" i="137" s="1"/>
  <c r="F29" i="137" s="1"/>
  <c r="G25" i="137"/>
  <c r="G27" i="137"/>
  <c r="G29" i="137" s="1"/>
  <c r="C25" i="137"/>
  <c r="C26" i="137"/>
  <c r="C28" i="137" s="1"/>
  <c r="F29" i="65"/>
  <c r="F28" i="65"/>
  <c r="G26" i="137"/>
  <c r="G28" i="137" s="1"/>
  <c r="F26" i="137"/>
  <c r="F28" i="137" s="1"/>
  <c r="C27" i="137"/>
  <c r="C29" i="137" s="1"/>
  <c r="E27" i="137"/>
  <c r="E29" i="137"/>
  <c r="D27" i="137"/>
  <c r="D29" i="137" s="1"/>
  <c r="H14" i="137"/>
  <c r="H15" i="137" s="1"/>
  <c r="H9" i="137"/>
  <c r="I9" i="137"/>
  <c r="H10" i="137"/>
  <c r="I10" i="137"/>
  <c r="D13" i="137"/>
  <c r="D14" i="137" s="1"/>
  <c r="D15" i="137" s="1"/>
  <c r="E13" i="137"/>
  <c r="E14" i="137" s="1"/>
  <c r="E15" i="137" s="1"/>
  <c r="F13" i="137"/>
  <c r="F14" i="137"/>
  <c r="F15" i="137" s="1"/>
  <c r="G13" i="137"/>
  <c r="G14" i="137" s="1"/>
  <c r="G15" i="137" s="1"/>
  <c r="C13" i="137"/>
  <c r="C14" i="137"/>
  <c r="C15" i="137" s="1"/>
  <c r="D9" i="137"/>
  <c r="E9" i="137"/>
  <c r="F9" i="137"/>
  <c r="G9" i="137"/>
  <c r="C9" i="137"/>
  <c r="D10" i="137"/>
  <c r="E10" i="137"/>
  <c r="F10" i="137"/>
  <c r="G10" i="137"/>
  <c r="C10" i="137"/>
  <c r="D9" i="31"/>
  <c r="J8" i="103"/>
  <c r="K8" i="103"/>
  <c r="J9" i="103"/>
  <c r="K9" i="103"/>
  <c r="H9" i="103"/>
  <c r="H8" i="103"/>
  <c r="E38" i="24"/>
  <c r="E39" i="24"/>
  <c r="H25" i="24"/>
  <c r="J24" i="24"/>
  <c r="K24" i="24"/>
  <c r="H24" i="24"/>
  <c r="I8" i="103"/>
  <c r="I24" i="24"/>
  <c r="I25" i="24"/>
  <c r="I9" i="103"/>
  <c r="D7" i="135"/>
  <c r="D6" i="135"/>
  <c r="E8" i="135"/>
  <c r="D16" i="103"/>
  <c r="C13" i="82" s="1"/>
  <c r="D8" i="135"/>
  <c r="AB46" i="17"/>
  <c r="E12" i="10"/>
  <c r="E23" i="24"/>
  <c r="D9" i="100"/>
  <c r="D18" i="100"/>
  <c r="D17" i="100"/>
  <c r="D15" i="100"/>
  <c r="H15" i="100" s="1"/>
  <c r="I15" i="100" s="1"/>
  <c r="J15" i="100" s="1"/>
  <c r="K15" i="100" s="1"/>
  <c r="D14" i="100"/>
  <c r="D13" i="100"/>
  <c r="D12" i="100"/>
  <c r="D10" i="100"/>
  <c r="D20" i="100" s="1"/>
  <c r="D8" i="100"/>
  <c r="D7" i="100"/>
  <c r="C8" i="58"/>
  <c r="C7" i="58"/>
  <c r="B7" i="135"/>
  <c r="R31" i="17"/>
  <c r="R32" i="17"/>
  <c r="R33" i="17"/>
  <c r="R35" i="17"/>
  <c r="R36" i="17"/>
  <c r="R37" i="17"/>
  <c r="R38" i="17"/>
  <c r="R39" i="17"/>
  <c r="R30" i="17"/>
  <c r="O40" i="17"/>
  <c r="AA30" i="17"/>
  <c r="Q40" i="17"/>
  <c r="P31" i="17"/>
  <c r="P32" i="17"/>
  <c r="P33" i="17"/>
  <c r="P34" i="17"/>
  <c r="P35" i="17"/>
  <c r="P36" i="17"/>
  <c r="P37" i="17"/>
  <c r="P38" i="17"/>
  <c r="P39" i="17"/>
  <c r="P30" i="17"/>
  <c r="E24" i="65"/>
  <c r="I24" i="65"/>
  <c r="D24" i="65"/>
  <c r="D22" i="65"/>
  <c r="E22" i="65"/>
  <c r="I22" i="65"/>
  <c r="E36" i="65"/>
  <c r="J12" i="137"/>
  <c r="E33" i="65"/>
  <c r="E35" i="65" s="1"/>
  <c r="E13" i="65"/>
  <c r="E14" i="65"/>
  <c r="E12" i="65"/>
  <c r="E11" i="65"/>
  <c r="E10" i="65"/>
  <c r="E7" i="65"/>
  <c r="E9" i="65" s="1"/>
  <c r="E19" i="65" s="1"/>
  <c r="D28" i="34"/>
  <c r="D27" i="34"/>
  <c r="D25" i="34"/>
  <c r="D26" i="34"/>
  <c r="D24" i="34"/>
  <c r="D23" i="34"/>
  <c r="D29" i="34" s="1"/>
  <c r="D31" i="34" s="1"/>
  <c r="D33" i="34" s="1"/>
  <c r="D22" i="34"/>
  <c r="D21" i="34"/>
  <c r="J7" i="137"/>
  <c r="P40" i="17"/>
  <c r="P41" i="17" s="1"/>
  <c r="G91" i="134"/>
  <c r="G87" i="134"/>
  <c r="J80" i="134"/>
  <c r="D32" i="34"/>
  <c r="J79" i="134"/>
  <c r="D34" i="61"/>
  <c r="J24" i="137"/>
  <c r="G70" i="134"/>
  <c r="E63" i="134"/>
  <c r="E62" i="134"/>
  <c r="G62" i="134"/>
  <c r="D62" i="134"/>
  <c r="G55" i="134"/>
  <c r="E18" i="134"/>
  <c r="E17" i="134"/>
  <c r="G17" i="134"/>
  <c r="D18" i="134"/>
  <c r="D17" i="134"/>
  <c r="C18" i="134"/>
  <c r="C17" i="134"/>
  <c r="B17" i="134"/>
  <c r="E16" i="134"/>
  <c r="E15" i="134"/>
  <c r="E14" i="134"/>
  <c r="G14" i="134"/>
  <c r="E10" i="134"/>
  <c r="G10" i="134"/>
  <c r="G8" i="134"/>
  <c r="G95" i="134"/>
  <c r="D30" i="61"/>
  <c r="D29" i="61"/>
  <c r="D28" i="61"/>
  <c r="D27" i="61"/>
  <c r="D25" i="61"/>
  <c r="D26" i="61"/>
  <c r="D24" i="61"/>
  <c r="D22" i="61"/>
  <c r="D20" i="61"/>
  <c r="D21" i="61"/>
  <c r="D18" i="61"/>
  <c r="D19" i="61"/>
  <c r="D17" i="61"/>
  <c r="D15" i="61"/>
  <c r="D16" i="61"/>
  <c r="D7" i="61"/>
  <c r="D8" i="61"/>
  <c r="D9" i="61"/>
  <c r="D10" i="61"/>
  <c r="D11" i="61"/>
  <c r="D12" i="61"/>
  <c r="D13" i="61"/>
  <c r="D6" i="61"/>
  <c r="D36" i="17"/>
  <c r="D15" i="10"/>
  <c r="L24" i="133"/>
  <c r="L27" i="133"/>
  <c r="AE17" i="133"/>
  <c r="Z17" i="133"/>
  <c r="Y17" i="133"/>
  <c r="D6" i="63"/>
  <c r="X17" i="133"/>
  <c r="C6" i="63"/>
  <c r="W17" i="133"/>
  <c r="B6" i="63"/>
  <c r="V17" i="133"/>
  <c r="F21" i="133"/>
  <c r="F26" i="133"/>
  <c r="U17" i="133"/>
  <c r="T17" i="133"/>
  <c r="S17" i="133"/>
  <c r="R17" i="133"/>
  <c r="B21" i="133"/>
  <c r="B26" i="133"/>
  <c r="Q17" i="133"/>
  <c r="P17" i="133"/>
  <c r="O17" i="133"/>
  <c r="N17" i="133"/>
  <c r="M17" i="133"/>
  <c r="L17" i="133"/>
  <c r="B23" i="133"/>
  <c r="B27" i="133"/>
  <c r="K17" i="133"/>
  <c r="J17" i="133"/>
  <c r="I17" i="133"/>
  <c r="J24" i="133"/>
  <c r="J27" i="133"/>
  <c r="E8" i="63"/>
  <c r="H17" i="133"/>
  <c r="G17" i="133"/>
  <c r="F17" i="133"/>
  <c r="E17" i="133"/>
  <c r="F24" i="133"/>
  <c r="F27" i="133"/>
  <c r="D17" i="133"/>
  <c r="C17" i="133"/>
  <c r="B17" i="133"/>
  <c r="AC16" i="133"/>
  <c r="AA16" i="133"/>
  <c r="AC15" i="133"/>
  <c r="AA15" i="133"/>
  <c r="AC14" i="133"/>
  <c r="AA14" i="133"/>
  <c r="AC13" i="133"/>
  <c r="AA13" i="133"/>
  <c r="AC12" i="133"/>
  <c r="AA12" i="133"/>
  <c r="AC11" i="133"/>
  <c r="AA11" i="133"/>
  <c r="AC10" i="133"/>
  <c r="AB10" i="133"/>
  <c r="AA10" i="133"/>
  <c r="AD9" i="133"/>
  <c r="AC9" i="133"/>
  <c r="AB9" i="133"/>
  <c r="AD8" i="133"/>
  <c r="AC8" i="133"/>
  <c r="AB8" i="133"/>
  <c r="AD7" i="133"/>
  <c r="AC7" i="133"/>
  <c r="AB7" i="133"/>
  <c r="AD6" i="133"/>
  <c r="AC6" i="133"/>
  <c r="AB6" i="133"/>
  <c r="AD5" i="133"/>
  <c r="AC5" i="133"/>
  <c r="AB5" i="133"/>
  <c r="F23" i="133"/>
  <c r="D21" i="133"/>
  <c r="D26" i="133"/>
  <c r="L21" i="133"/>
  <c r="L26" i="133"/>
  <c r="C23" i="133"/>
  <c r="B28" i="133"/>
  <c r="I21" i="133"/>
  <c r="I26" i="133"/>
  <c r="L22" i="133"/>
  <c r="C24" i="133"/>
  <c r="C27" i="133"/>
  <c r="C21" i="133"/>
  <c r="C26" i="133"/>
  <c r="C28" i="133"/>
  <c r="G24" i="133"/>
  <c r="G27" i="133"/>
  <c r="K24" i="133"/>
  <c r="K27" i="133"/>
  <c r="D23" i="133"/>
  <c r="F8" i="63"/>
  <c r="AB17" i="133"/>
  <c r="D24" i="133"/>
  <c r="D27" i="133"/>
  <c r="H24" i="133"/>
  <c r="H27" i="133"/>
  <c r="E23" i="133"/>
  <c r="G21" i="133"/>
  <c r="G26" i="133"/>
  <c r="G28" i="133"/>
  <c r="E6" i="63"/>
  <c r="B8" i="63"/>
  <c r="D8" i="63"/>
  <c r="L28" i="133"/>
  <c r="AA17" i="133"/>
  <c r="AC17" i="133"/>
  <c r="E24" i="133"/>
  <c r="E27" i="133"/>
  <c r="I24" i="133"/>
  <c r="I27" i="133"/>
  <c r="I28" i="133"/>
  <c r="H21" i="133"/>
  <c r="H26" i="133"/>
  <c r="G8" i="63"/>
  <c r="C8" i="63"/>
  <c r="F28" i="133"/>
  <c r="D28" i="133"/>
  <c r="H28" i="133"/>
  <c r="E21" i="133"/>
  <c r="E26" i="133"/>
  <c r="AD17" i="133"/>
  <c r="K21" i="133"/>
  <c r="G6" i="63"/>
  <c r="E28" i="133"/>
  <c r="J21" i="133"/>
  <c r="F6" i="63"/>
  <c r="F10" i="63"/>
  <c r="K22" i="133"/>
  <c r="K26" i="133"/>
  <c r="K28" i="133"/>
  <c r="J22" i="133"/>
  <c r="J26" i="133"/>
  <c r="J28" i="133"/>
  <c r="C39" i="24"/>
  <c r="F12" i="19"/>
  <c r="I10" i="12"/>
  <c r="F26" i="17"/>
  <c r="G26" i="17"/>
  <c r="H26" i="17"/>
  <c r="I26" i="17"/>
  <c r="I23" i="17"/>
  <c r="I37" i="17" s="1"/>
  <c r="I52" i="116" s="1"/>
  <c r="I22" i="17"/>
  <c r="K7" i="103" s="1"/>
  <c r="K12" i="10"/>
  <c r="K23" i="24"/>
  <c r="I23" i="24"/>
  <c r="G8" i="19"/>
  <c r="H8" i="19"/>
  <c r="C21" i="17"/>
  <c r="G15" i="2"/>
  <c r="H15" i="2"/>
  <c r="E7" i="34"/>
  <c r="F7" i="34"/>
  <c r="C8" i="34"/>
  <c r="J15" i="10"/>
  <c r="K15" i="10"/>
  <c r="I15" i="10"/>
  <c r="AE7" i="101"/>
  <c r="D11" i="101"/>
  <c r="C9" i="63"/>
  <c r="C7" i="63"/>
  <c r="D25" i="24"/>
  <c r="D24" i="24"/>
  <c r="D9" i="103"/>
  <c r="C16" i="17"/>
  <c r="C15" i="17" s="1"/>
  <c r="F15" i="17" s="1"/>
  <c r="AB30" i="17"/>
  <c r="C8" i="17"/>
  <c r="F8" i="17" s="1"/>
  <c r="D28" i="94"/>
  <c r="K25" i="31"/>
  <c r="J25" i="31"/>
  <c r="H25" i="31"/>
  <c r="C25" i="31"/>
  <c r="C34" i="24"/>
  <c r="D16" i="112"/>
  <c r="C17" i="33"/>
  <c r="C27" i="33" s="1"/>
  <c r="N32" i="117"/>
  <c r="D34" i="117"/>
  <c r="D35" i="117"/>
  <c r="H34" i="117"/>
  <c r="I32" i="117"/>
  <c r="I33" i="117"/>
  <c r="H33" i="117"/>
  <c r="H32" i="117"/>
  <c r="I18" i="129"/>
  <c r="H18" i="129"/>
  <c r="I16" i="129"/>
  <c r="H16" i="129"/>
  <c r="H11" i="129"/>
  <c r="I34" i="117"/>
  <c r="H11" i="101"/>
  <c r="I11" i="101"/>
  <c r="J11" i="101"/>
  <c r="K11" i="101"/>
  <c r="C17" i="58"/>
  <c r="E17" i="58"/>
  <c r="C58" i="17"/>
  <c r="C22" i="17"/>
  <c r="C35" i="17" s="1"/>
  <c r="C45" i="17" s="1"/>
  <c r="C8" i="103"/>
  <c r="C24" i="24" s="1"/>
  <c r="C26" i="24" s="1"/>
  <c r="C17" i="13"/>
  <c r="J491" i="132"/>
  <c r="I491" i="132"/>
  <c r="G491" i="132"/>
  <c r="E491" i="132"/>
  <c r="H339" i="132"/>
  <c r="C12" i="33"/>
  <c r="C22" i="33"/>
  <c r="H18" i="100"/>
  <c r="I18" i="100"/>
  <c r="J18" i="100" s="1"/>
  <c r="K18" i="100" s="1"/>
  <c r="H17" i="100"/>
  <c r="I17" i="100"/>
  <c r="J17" i="100" s="1"/>
  <c r="K17" i="100" s="1"/>
  <c r="H16" i="100"/>
  <c r="I16" i="100"/>
  <c r="J16" i="100"/>
  <c r="K16" i="100"/>
  <c r="H14" i="100"/>
  <c r="I14" i="100"/>
  <c r="J14" i="100" s="1"/>
  <c r="K14" i="100" s="1"/>
  <c r="H13" i="100"/>
  <c r="I13" i="100"/>
  <c r="J13" i="100" s="1"/>
  <c r="K13" i="100" s="1"/>
  <c r="H12" i="100"/>
  <c r="I12" i="100"/>
  <c r="J12" i="100" s="1"/>
  <c r="K12" i="100" s="1"/>
  <c r="H11" i="100"/>
  <c r="I11" i="100"/>
  <c r="J11" i="100"/>
  <c r="K11" i="100"/>
  <c r="H9" i="100"/>
  <c r="I9" i="100"/>
  <c r="J9" i="100" s="1"/>
  <c r="K9" i="100" s="1"/>
  <c r="H8" i="100"/>
  <c r="I8" i="100"/>
  <c r="J8" i="100" s="1"/>
  <c r="K8" i="100" s="1"/>
  <c r="H7" i="100"/>
  <c r="I7" i="100"/>
  <c r="J7" i="100" s="1"/>
  <c r="K7" i="100" s="1"/>
  <c r="H6" i="100"/>
  <c r="I6" i="100"/>
  <c r="J6" i="100" s="1"/>
  <c r="K6" i="100" s="1"/>
  <c r="D54" i="61"/>
  <c r="E8" i="34"/>
  <c r="E13" i="34" s="1"/>
  <c r="C13" i="34"/>
  <c r="C33" i="34" s="1"/>
  <c r="C10" i="97"/>
  <c r="C12" i="97"/>
  <c r="I54" i="61"/>
  <c r="C57" i="61"/>
  <c r="C58" i="61"/>
  <c r="C8" i="31"/>
  <c r="D28" i="65"/>
  <c r="D29" i="65"/>
  <c r="D10" i="97"/>
  <c r="F54" i="61"/>
  <c r="D30" i="65"/>
  <c r="D37" i="65"/>
  <c r="C7" i="31"/>
  <c r="D20" i="94"/>
  <c r="E5" i="112"/>
  <c r="F5" i="112" s="1"/>
  <c r="G5" i="112" s="1"/>
  <c r="H5" i="112" s="1"/>
  <c r="I5" i="112" s="1"/>
  <c r="D21" i="94"/>
  <c r="C9" i="88"/>
  <c r="C7" i="88"/>
  <c r="C8" i="88"/>
  <c r="D9" i="88"/>
  <c r="E32" i="6"/>
  <c r="G32" i="6"/>
  <c r="J32" i="6"/>
  <c r="F32" i="6"/>
  <c r="H17" i="4"/>
  <c r="J17" i="6"/>
  <c r="F17" i="6"/>
  <c r="T18" i="37"/>
  <c r="S18" i="37"/>
  <c r="R18" i="37"/>
  <c r="P18" i="37"/>
  <c r="O18" i="37"/>
  <c r="N18" i="37"/>
  <c r="M18" i="37"/>
  <c r="K18" i="37"/>
  <c r="J18" i="37"/>
  <c r="I18" i="37"/>
  <c r="H18" i="37"/>
  <c r="F18" i="37"/>
  <c r="E18" i="37"/>
  <c r="D18" i="37"/>
  <c r="C18" i="37"/>
  <c r="U18" i="37"/>
  <c r="I13" i="129"/>
  <c r="H13" i="129"/>
  <c r="I11" i="129"/>
  <c r="G15" i="47"/>
  <c r="F15" i="47"/>
  <c r="E15" i="47"/>
  <c r="C6" i="47"/>
  <c r="C15" i="47" s="1"/>
  <c r="C26" i="100"/>
  <c r="C27" i="100"/>
  <c r="E26" i="100"/>
  <c r="E27" i="100"/>
  <c r="E11" i="97"/>
  <c r="I60" i="116"/>
  <c r="I62" i="116"/>
  <c r="I63" i="116"/>
  <c r="I65" i="116"/>
  <c r="I67" i="116"/>
  <c r="E37" i="116"/>
  <c r="D37" i="116"/>
  <c r="C37" i="116"/>
  <c r="E36" i="116"/>
  <c r="D36" i="116"/>
  <c r="C36" i="116"/>
  <c r="E35" i="116"/>
  <c r="D35" i="116"/>
  <c r="K20" i="116"/>
  <c r="L20" i="116"/>
  <c r="M20" i="116"/>
  <c r="K18" i="116"/>
  <c r="K16" i="116"/>
  <c r="K17" i="116"/>
  <c r="D14" i="116"/>
  <c r="D16" i="116"/>
  <c r="A6" i="116"/>
  <c r="A7" i="116"/>
  <c r="A8" i="116"/>
  <c r="A9" i="116"/>
  <c r="A10" i="116"/>
  <c r="A11" i="116"/>
  <c r="A12" i="116"/>
  <c r="A13" i="116"/>
  <c r="A14" i="116"/>
  <c r="A15" i="116"/>
  <c r="A16" i="116"/>
  <c r="A17" i="116"/>
  <c r="A18" i="116"/>
  <c r="A19" i="116"/>
  <c r="A20" i="116"/>
  <c r="A21" i="116"/>
  <c r="A22" i="116"/>
  <c r="B4" i="116"/>
  <c r="C4" i="116"/>
  <c r="D4" i="116"/>
  <c r="E4" i="116"/>
  <c r="F4" i="116"/>
  <c r="G6" i="115"/>
  <c r="H6" i="115"/>
  <c r="G5" i="115"/>
  <c r="H5" i="115"/>
  <c r="G2" i="115"/>
  <c r="N15" i="114"/>
  <c r="M15" i="114"/>
  <c r="K15" i="114"/>
  <c r="J15" i="114"/>
  <c r="I15" i="114"/>
  <c r="H15" i="114"/>
  <c r="G15" i="114"/>
  <c r="F15" i="114"/>
  <c r="E15" i="114"/>
  <c r="D15" i="114"/>
  <c r="C15" i="114"/>
  <c r="H16" i="114"/>
  <c r="E16" i="114"/>
  <c r="C16" i="114"/>
  <c r="N7" i="114"/>
  <c r="N9" i="114"/>
  <c r="H12" i="113"/>
  <c r="E15" i="116"/>
  <c r="H11" i="113"/>
  <c r="E13" i="116" s="1"/>
  <c r="E14" i="116" s="1"/>
  <c r="E16" i="116" s="1"/>
  <c r="H7" i="113"/>
  <c r="C6" i="115" s="1"/>
  <c r="D14" i="12"/>
  <c r="L13" i="12"/>
  <c r="F13" i="12"/>
  <c r="D13" i="12"/>
  <c r="L9" i="12"/>
  <c r="F9" i="12"/>
  <c r="D9" i="12"/>
  <c r="C6" i="12"/>
  <c r="C14" i="12" s="1"/>
  <c r="C9" i="12"/>
  <c r="A9" i="112"/>
  <c r="A10" i="112"/>
  <c r="A11" i="112"/>
  <c r="A12" i="112"/>
  <c r="A13" i="112"/>
  <c r="A14" i="112"/>
  <c r="A15" i="112"/>
  <c r="A16" i="112"/>
  <c r="A17" i="112"/>
  <c r="A18" i="112"/>
  <c r="A19" i="112"/>
  <c r="F11" i="97"/>
  <c r="I16" i="114"/>
  <c r="D20" i="116"/>
  <c r="D22" i="116" s="1"/>
  <c r="J16" i="114"/>
  <c r="N16" i="114"/>
  <c r="K16" i="114"/>
  <c r="K21" i="116"/>
  <c r="L21" i="116"/>
  <c r="M21" i="116"/>
  <c r="J59" i="116"/>
  <c r="L11" i="116"/>
  <c r="M11" i="116"/>
  <c r="E5" i="12"/>
  <c r="C13" i="12"/>
  <c r="G11" i="97"/>
  <c r="J62" i="116"/>
  <c r="K59" i="116"/>
  <c r="E13" i="12"/>
  <c r="G5" i="12"/>
  <c r="I5" i="12"/>
  <c r="E9" i="12"/>
  <c r="K62" i="116"/>
  <c r="M59" i="116"/>
  <c r="J63" i="116"/>
  <c r="J65" i="116"/>
  <c r="J67" i="116"/>
  <c r="G9" i="12"/>
  <c r="I9" i="12"/>
  <c r="M5" i="12"/>
  <c r="G13" i="12"/>
  <c r="I13" i="12"/>
  <c r="M62" i="116"/>
  <c r="M63" i="116"/>
  <c r="M65" i="116"/>
  <c r="M67" i="116"/>
  <c r="K63" i="116"/>
  <c r="K65" i="116"/>
  <c r="K67" i="116"/>
  <c r="M9" i="12"/>
  <c r="M13" i="12"/>
  <c r="H6" i="47"/>
  <c r="H15" i="47" s="1"/>
  <c r="D8" i="103"/>
  <c r="A1" i="16"/>
  <c r="D53" i="17"/>
  <c r="E44" i="2"/>
  <c r="C29" i="88"/>
  <c r="I44" i="2"/>
  <c r="D29" i="88"/>
  <c r="G12" i="10"/>
  <c r="F12" i="10"/>
  <c r="H40" i="2"/>
  <c r="H42" i="2"/>
  <c r="H43" i="2"/>
  <c r="G40" i="2"/>
  <c r="G42" i="2"/>
  <c r="G43" i="2"/>
  <c r="F40" i="2"/>
  <c r="F42" i="2"/>
  <c r="D28" i="2"/>
  <c r="H29" i="2"/>
  <c r="G29" i="2"/>
  <c r="H27" i="2"/>
  <c r="G27" i="2"/>
  <c r="H25" i="2"/>
  <c r="G25" i="2"/>
  <c r="H23" i="2"/>
  <c r="G23" i="2"/>
  <c r="F23" i="2"/>
  <c r="D23" i="2"/>
  <c r="H22" i="2"/>
  <c r="G22" i="2"/>
  <c r="H21" i="2"/>
  <c r="G21" i="2"/>
  <c r="H20" i="2"/>
  <c r="G20" i="2"/>
  <c r="G17" i="2"/>
  <c r="F30" i="4" s="1"/>
  <c r="H17" i="2"/>
  <c r="G30" i="4"/>
  <c r="G48" i="2"/>
  <c r="H45" i="2"/>
  <c r="H48" i="2"/>
  <c r="H24" i="2"/>
  <c r="G24" i="2"/>
  <c r="E18" i="58"/>
  <c r="F15" i="2"/>
  <c r="E22" i="4" s="1"/>
  <c r="D40" i="2"/>
  <c r="D42" i="2"/>
  <c r="H9" i="31"/>
  <c r="I9" i="31" s="1"/>
  <c r="C44" i="61"/>
  <c r="C45" i="61"/>
  <c r="D22" i="2"/>
  <c r="C6" i="31"/>
  <c r="C12" i="31" s="1"/>
  <c r="F9" i="63"/>
  <c r="E9" i="63"/>
  <c r="D9" i="63"/>
  <c r="D7" i="63"/>
  <c r="F7" i="63"/>
  <c r="E7" i="63"/>
  <c r="E21" i="65"/>
  <c r="E10" i="63"/>
  <c r="D50" i="61"/>
  <c r="E58" i="61"/>
  <c r="E8" i="31"/>
  <c r="F22" i="2"/>
  <c r="C18" i="58"/>
  <c r="C6" i="101"/>
  <c r="G7" i="63"/>
  <c r="H7" i="63"/>
  <c r="J21" i="65"/>
  <c r="G9" i="63"/>
  <c r="H54" i="61"/>
  <c r="E23" i="2"/>
  <c r="C18" i="88" s="1"/>
  <c r="D31" i="61"/>
  <c r="D33" i="61" s="1"/>
  <c r="D33" i="65"/>
  <c r="D35" i="65"/>
  <c r="H37" i="24"/>
  <c r="H36" i="24"/>
  <c r="I36" i="24"/>
  <c r="J36" i="24"/>
  <c r="K36" i="24"/>
  <c r="E34" i="24"/>
  <c r="E30" i="24"/>
  <c r="E31" i="24"/>
  <c r="D36" i="24"/>
  <c r="D34" i="24"/>
  <c r="E16" i="112" s="1"/>
  <c r="E26" i="24"/>
  <c r="E10" i="103"/>
  <c r="G8" i="103"/>
  <c r="H34" i="24"/>
  <c r="F16" i="112"/>
  <c r="H38" i="24"/>
  <c r="H39" i="24"/>
  <c r="I37" i="24"/>
  <c r="J37" i="24"/>
  <c r="K37" i="24"/>
  <c r="E35" i="24"/>
  <c r="D38" i="24"/>
  <c r="D39" i="24"/>
  <c r="D40" i="24" s="1"/>
  <c r="E25" i="2" s="1"/>
  <c r="C27" i="88" s="1"/>
  <c r="K21" i="65"/>
  <c r="L21" i="65"/>
  <c r="E26" i="65"/>
  <c r="E28" i="65"/>
  <c r="D53" i="61"/>
  <c r="D51" i="61"/>
  <c r="D15" i="2"/>
  <c r="D17" i="2" s="1"/>
  <c r="C30" i="4" s="1"/>
  <c r="G10" i="63"/>
  <c r="I21" i="65"/>
  <c r="H9" i="63"/>
  <c r="H10" i="63"/>
  <c r="I38" i="24"/>
  <c r="I39" i="24"/>
  <c r="I34" i="24"/>
  <c r="G16" i="112"/>
  <c r="F8" i="103"/>
  <c r="J34" i="24"/>
  <c r="H16" i="112"/>
  <c r="K34" i="24"/>
  <c r="I16" i="112"/>
  <c r="I50" i="61"/>
  <c r="J50" i="61"/>
  <c r="K50" i="61"/>
  <c r="G50" i="61"/>
  <c r="K38" i="24"/>
  <c r="K39" i="24"/>
  <c r="J38" i="24"/>
  <c r="J39" i="24"/>
  <c r="I26" i="65"/>
  <c r="E29" i="65"/>
  <c r="E30" i="65"/>
  <c r="C22" i="4"/>
  <c r="H51" i="61"/>
  <c r="F50" i="61"/>
  <c r="F51" i="61"/>
  <c r="D57" i="61"/>
  <c r="F30" i="65"/>
  <c r="F37" i="65"/>
  <c r="E7" i="31"/>
  <c r="D20" i="2"/>
  <c r="H53" i="61"/>
  <c r="E40" i="24"/>
  <c r="F25" i="2"/>
  <c r="F53" i="61"/>
  <c r="E37" i="65"/>
  <c r="D7" i="31"/>
  <c r="E17" i="2"/>
  <c r="D30" i="4" s="1"/>
  <c r="I29" i="65"/>
  <c r="I28" i="65"/>
  <c r="E20" i="2"/>
  <c r="C15" i="97"/>
  <c r="C16" i="97"/>
  <c r="H57" i="61"/>
  <c r="H56" i="61"/>
  <c r="F57" i="61"/>
  <c r="F20" i="2"/>
  <c r="I30" i="65"/>
  <c r="I37" i="65"/>
  <c r="H7" i="31"/>
  <c r="I20" i="2"/>
  <c r="D16" i="88"/>
  <c r="C16" i="88"/>
  <c r="H58" i="61"/>
  <c r="H26" i="2"/>
  <c r="G26" i="2"/>
  <c r="E26" i="17"/>
  <c r="C26" i="17"/>
  <c r="C52" i="17"/>
  <c r="C32" i="17"/>
  <c r="C33" i="17" s="1"/>
  <c r="C23" i="24"/>
  <c r="C10" i="10"/>
  <c r="C17" i="10"/>
  <c r="D12" i="19"/>
  <c r="C53" i="17"/>
  <c r="D15" i="97"/>
  <c r="D16" i="97"/>
  <c r="C5" i="96"/>
  <c r="E5" i="96"/>
  <c r="C30" i="24"/>
  <c r="C31" i="24"/>
  <c r="C35" i="24"/>
  <c r="C40" i="24"/>
  <c r="C9" i="101"/>
  <c r="D6" i="9"/>
  <c r="D11" i="9"/>
  <c r="D17" i="9"/>
  <c r="G7" i="103"/>
  <c r="G10" i="103" s="1"/>
  <c r="G11" i="103" s="1"/>
  <c r="F7" i="103"/>
  <c r="F17" i="10"/>
  <c r="E53" i="17"/>
  <c r="D25" i="2"/>
  <c r="E10" i="10"/>
  <c r="E17" i="10"/>
  <c r="G17" i="10"/>
  <c r="E27" i="17"/>
  <c r="F6" i="9"/>
  <c r="F11" i="9"/>
  <c r="F17" i="9"/>
  <c r="D26" i="2"/>
  <c r="C13" i="103"/>
  <c r="C14" i="103" s="1"/>
  <c r="C15" i="103" s="1"/>
  <c r="C17" i="103" s="1"/>
  <c r="C19" i="103" s="1"/>
  <c r="D27" i="2" s="1"/>
  <c r="K16" i="72"/>
  <c r="H16" i="72"/>
  <c r="E16" i="72"/>
  <c r="A15" i="50"/>
  <c r="A16" i="50"/>
  <c r="A17" i="50"/>
  <c r="A18" i="50"/>
  <c r="A19" i="50"/>
  <c r="A20" i="50"/>
  <c r="A8" i="100"/>
  <c r="A9" i="100"/>
  <c r="A10" i="100"/>
  <c r="A11" i="100"/>
  <c r="A12" i="100"/>
  <c r="A13" i="100"/>
  <c r="A14" i="100"/>
  <c r="A15" i="100"/>
  <c r="A16" i="100"/>
  <c r="A28" i="34"/>
  <c r="A29" i="34"/>
  <c r="A30" i="34"/>
  <c r="A31" i="34"/>
  <c r="A33" i="34"/>
  <c r="A25" i="24"/>
  <c r="A26" i="24"/>
  <c r="A27" i="24"/>
  <c r="A30" i="24"/>
  <c r="A31" i="24"/>
  <c r="A32" i="24"/>
  <c r="A9" i="12"/>
  <c r="A10" i="12"/>
  <c r="A13" i="12"/>
  <c r="A14" i="12"/>
  <c r="A17" i="12"/>
  <c r="A18" i="12"/>
  <c r="F8" i="11"/>
  <c r="E8" i="11"/>
  <c r="C8" i="11"/>
  <c r="A40" i="2"/>
  <c r="A41" i="2"/>
  <c r="A26" i="2"/>
  <c r="A27" i="2"/>
  <c r="A29" i="2"/>
  <c r="A30" i="2"/>
  <c r="A33" i="2"/>
  <c r="A1" i="13"/>
  <c r="A9" i="89"/>
  <c r="A10" i="89"/>
  <c r="A11" i="89"/>
  <c r="A12" i="89"/>
  <c r="A13" i="89"/>
  <c r="A14" i="89"/>
  <c r="A15" i="89"/>
  <c r="A16" i="89"/>
  <c r="A17" i="89"/>
  <c r="A18" i="89"/>
  <c r="A19" i="89"/>
  <c r="A20" i="89"/>
  <c r="A21" i="89"/>
  <c r="A22" i="89"/>
  <c r="A23" i="89"/>
  <c r="A24" i="89"/>
  <c r="A25" i="89"/>
  <c r="A26" i="89"/>
  <c r="A27" i="89"/>
  <c r="A28" i="89"/>
  <c r="A29" i="89"/>
  <c r="A30" i="89"/>
  <c r="A31" i="89"/>
  <c r="A33" i="89"/>
  <c r="A34" i="89"/>
  <c r="A35" i="89"/>
  <c r="A36" i="89"/>
  <c r="A37" i="89"/>
  <c r="A38" i="89"/>
  <c r="A39" i="89"/>
  <c r="A40" i="89"/>
  <c r="A41" i="89"/>
  <c r="A42" i="89"/>
  <c r="A43" i="89"/>
  <c r="A44" i="89"/>
  <c r="A5" i="89"/>
  <c r="G18" i="16"/>
  <c r="D18" i="16"/>
  <c r="D7" i="88"/>
  <c r="D8" i="88"/>
  <c r="H22" i="4"/>
  <c r="I17" i="2"/>
  <c r="H30" i="4" s="1"/>
  <c r="C9" i="96"/>
  <c r="B17" i="13"/>
  <c r="E9" i="96"/>
  <c r="D6" i="47"/>
  <c r="D15" i="47"/>
  <c r="B18" i="13"/>
  <c r="H15" i="10"/>
  <c r="D30" i="24"/>
  <c r="D31" i="24"/>
  <c r="D35" i="24"/>
  <c r="H29" i="24"/>
  <c r="H30" i="24"/>
  <c r="I29" i="24" s="1"/>
  <c r="I30" i="24" s="1"/>
  <c r="J11" i="137" l="1"/>
  <c r="J13" i="137" s="1"/>
  <c r="E38" i="65"/>
  <c r="D23" i="31" s="1"/>
  <c r="F7" i="114"/>
  <c r="F9" i="114" s="1"/>
  <c r="F16" i="114" s="1"/>
  <c r="D9" i="114"/>
  <c r="D16" i="114" s="1"/>
  <c r="V18" i="37"/>
  <c r="C9" i="82"/>
  <c r="J23" i="137"/>
  <c r="J25" i="137" s="1"/>
  <c r="J26" i="137" s="1"/>
  <c r="D35" i="61"/>
  <c r="D24" i="31" s="1"/>
  <c r="J23" i="2"/>
  <c r="E18" i="88" s="1"/>
  <c r="J9" i="31"/>
  <c r="D10" i="34"/>
  <c r="D12" i="34" s="1"/>
  <c r="E38" i="137"/>
  <c r="D25" i="100"/>
  <c r="D26" i="100" s="1"/>
  <c r="E40" i="2"/>
  <c r="D27" i="100"/>
  <c r="H25" i="100" s="1"/>
  <c r="I18" i="103"/>
  <c r="J18" i="103" s="1"/>
  <c r="K18" i="103" s="1"/>
  <c r="E21" i="116"/>
  <c r="V8" i="37"/>
  <c r="V11" i="37"/>
  <c r="I23" i="2"/>
  <c r="D18" i="88" s="1"/>
  <c r="F6" i="113"/>
  <c r="G7" i="114" s="1"/>
  <c r="AA40" i="17"/>
  <c r="G8" i="135"/>
  <c r="H16" i="103" s="1"/>
  <c r="H13" i="113"/>
  <c r="D6" i="115" s="1"/>
  <c r="H10" i="100"/>
  <c r="I10" i="100" s="1"/>
  <c r="J10" i="100" s="1"/>
  <c r="K10" i="100" s="1"/>
  <c r="F10" i="103"/>
  <c r="F11" i="103" s="1"/>
  <c r="E6" i="31"/>
  <c r="C7" i="101"/>
  <c r="C8" i="101"/>
  <c r="C10" i="101" s="1"/>
  <c r="C12" i="101" s="1"/>
  <c r="D29" i="2" s="1"/>
  <c r="D37" i="2" s="1"/>
  <c r="D43" i="2" s="1"/>
  <c r="D45" i="2" s="1"/>
  <c r="D21" i="2"/>
  <c r="D24" i="2" s="1"/>
  <c r="D34" i="17"/>
  <c r="D6" i="34" s="1"/>
  <c r="D8" i="34" s="1"/>
  <c r="D13" i="34" s="1"/>
  <c r="D6" i="31" s="1"/>
  <c r="E21" i="2" s="1"/>
  <c r="C15" i="88" s="1"/>
  <c r="E35" i="137"/>
  <c r="E37" i="137" s="1"/>
  <c r="AB40" i="17"/>
  <c r="AB41" i="17" s="1"/>
  <c r="D42" i="17" s="1"/>
  <c r="D54" i="17" s="1"/>
  <c r="R40" i="17"/>
  <c r="R41" i="17" s="1"/>
  <c r="D16" i="17"/>
  <c r="D12" i="10" s="1"/>
  <c r="E6" i="12"/>
  <c r="E14" i="12" s="1"/>
  <c r="C6" i="17"/>
  <c r="F6" i="17" s="1"/>
  <c r="E16" i="17"/>
  <c r="D16" i="10" s="1"/>
  <c r="E57" i="17"/>
  <c r="E59" i="17" s="1"/>
  <c r="E33" i="17"/>
  <c r="E34" i="17" s="1"/>
  <c r="E40" i="17"/>
  <c r="E10" i="19"/>
  <c r="C40" i="17"/>
  <c r="C34" i="17"/>
  <c r="AD40" i="17"/>
  <c r="F42" i="17"/>
  <c r="F54" i="17" s="1"/>
  <c r="G42" i="17"/>
  <c r="H42" i="17" s="1"/>
  <c r="I42" i="17" s="1"/>
  <c r="D44" i="17"/>
  <c r="D26" i="17"/>
  <c r="D39" i="17" s="1"/>
  <c r="C27" i="17"/>
  <c r="C7" i="103"/>
  <c r="C10" i="103" s="1"/>
  <c r="C9" i="17"/>
  <c r="F9" i="17" s="1"/>
  <c r="C12" i="17"/>
  <c r="F12" i="17" s="1"/>
  <c r="C7" i="17"/>
  <c r="F7" i="17" s="1"/>
  <c r="AC40" i="17"/>
  <c r="C13" i="17"/>
  <c r="F13" i="17" s="1"/>
  <c r="C10" i="17"/>
  <c r="F10" i="17" s="1"/>
  <c r="C11" i="17"/>
  <c r="F11" i="17" s="1"/>
  <c r="AC30" i="17"/>
  <c r="AD30" i="17" s="1"/>
  <c r="C14" i="17"/>
  <c r="F14" i="17" s="1"/>
  <c r="F52" i="17"/>
  <c r="I31" i="24"/>
  <c r="I35" i="24" s="1"/>
  <c r="I40" i="24" s="1"/>
  <c r="J29" i="24"/>
  <c r="J30" i="24" s="1"/>
  <c r="H31" i="24"/>
  <c r="H35" i="24" s="1"/>
  <c r="H40" i="24" s="1"/>
  <c r="I25" i="2" s="1"/>
  <c r="D27" i="88" s="1"/>
  <c r="G6" i="12"/>
  <c r="K10" i="103"/>
  <c r="F8" i="96"/>
  <c r="G11" i="96"/>
  <c r="J5" i="96" s="1"/>
  <c r="J11" i="96" s="1"/>
  <c r="D15" i="96" s="1"/>
  <c r="D21" i="96" s="1"/>
  <c r="G15" i="96" s="1"/>
  <c r="G21" i="96" s="1"/>
  <c r="I26" i="24"/>
  <c r="H7" i="103"/>
  <c r="H10" i="103" s="1"/>
  <c r="L10" i="103" s="1"/>
  <c r="I35" i="17"/>
  <c r="D16" i="31"/>
  <c r="F17" i="2"/>
  <c r="D22" i="4"/>
  <c r="G45" i="2"/>
  <c r="E30" i="4"/>
  <c r="J6" i="137"/>
  <c r="J10" i="137" s="1"/>
  <c r="K10" i="137" s="1"/>
  <c r="L10" i="137" s="1"/>
  <c r="J21" i="137"/>
  <c r="C9" i="97"/>
  <c r="D52" i="61"/>
  <c r="D56" i="61" s="1"/>
  <c r="D58" i="61" s="1"/>
  <c r="D8" i="31" s="1"/>
  <c r="D24" i="33"/>
  <c r="E9" i="33" s="1"/>
  <c r="D12" i="33"/>
  <c r="D27" i="33" s="1"/>
  <c r="J14" i="137"/>
  <c r="J15" i="137" s="1"/>
  <c r="J9" i="137"/>
  <c r="K9" i="137" s="1"/>
  <c r="L9" i="137" s="1"/>
  <c r="K22" i="65" s="1"/>
  <c r="F12" i="97"/>
  <c r="K14" i="137"/>
  <c r="L14" i="137" s="1"/>
  <c r="L15" i="137" s="1"/>
  <c r="J26" i="65" s="1"/>
  <c r="K26" i="65" s="1"/>
  <c r="L26" i="65" s="1"/>
  <c r="J54" i="61"/>
  <c r="L25" i="65"/>
  <c r="L22" i="65"/>
  <c r="K24" i="65"/>
  <c r="L24" i="65"/>
  <c r="J24" i="65"/>
  <c r="J27" i="137"/>
  <c r="H27" i="137"/>
  <c r="H29" i="137" s="1"/>
  <c r="F18" i="96"/>
  <c r="E52" i="116"/>
  <c r="D17" i="116" s="1"/>
  <c r="F28" i="17"/>
  <c r="I7" i="103"/>
  <c r="I10" i="103" s="1"/>
  <c r="M10" i="103" s="1"/>
  <c r="H23" i="24"/>
  <c r="H26" i="24" s="1"/>
  <c r="H23" i="17"/>
  <c r="H37" i="17" s="1"/>
  <c r="H52" i="116" s="1"/>
  <c r="J6" i="47"/>
  <c r="J15" i="47" s="1"/>
  <c r="L15" i="24"/>
  <c r="C19" i="96"/>
  <c r="J15" i="24"/>
  <c r="K26" i="137" l="1"/>
  <c r="L26" i="137" s="1"/>
  <c r="L28" i="137" s="1"/>
  <c r="I51" i="61" s="1"/>
  <c r="J51" i="61" s="1"/>
  <c r="J28" i="137"/>
  <c r="F16" i="17"/>
  <c r="C12" i="88"/>
  <c r="C13" i="88" s="1"/>
  <c r="E42" i="2"/>
  <c r="K23" i="2"/>
  <c r="F18" i="88" s="1"/>
  <c r="K9" i="31"/>
  <c r="L23" i="2" s="1"/>
  <c r="G18" i="88" s="1"/>
  <c r="D13" i="82"/>
  <c r="I16" i="103"/>
  <c r="H26" i="100"/>
  <c r="H27" i="100"/>
  <c r="I25" i="100" s="1"/>
  <c r="E39" i="137"/>
  <c r="E40" i="137" s="1"/>
  <c r="G7" i="34" s="1"/>
  <c r="H7" i="34" s="1"/>
  <c r="I7" i="34" s="1"/>
  <c r="G9" i="114"/>
  <c r="G16" i="114" s="1"/>
  <c r="M7" i="114"/>
  <c r="M9" i="114" s="1"/>
  <c r="M16" i="114" s="1"/>
  <c r="E12" i="31"/>
  <c r="F21" i="2"/>
  <c r="F24" i="2" s="1"/>
  <c r="E47" i="17"/>
  <c r="E58" i="17" s="1"/>
  <c r="E60" i="17" s="1"/>
  <c r="E44" i="17"/>
  <c r="E46" i="17" s="1"/>
  <c r="C44" i="17"/>
  <c r="C46" i="17" s="1"/>
  <c r="C41" i="17"/>
  <c r="F53" i="17"/>
  <c r="G48" i="17"/>
  <c r="C23" i="12"/>
  <c r="AD41" i="17"/>
  <c r="D43" i="17" s="1"/>
  <c r="D23" i="24"/>
  <c r="D26" i="24" s="1"/>
  <c r="D17" i="10"/>
  <c r="D22" i="17"/>
  <c r="D7" i="103"/>
  <c r="D10" i="103" s="1"/>
  <c r="E12" i="19"/>
  <c r="I6" i="19" s="1"/>
  <c r="I12" i="19" s="1"/>
  <c r="J6" i="19" s="1"/>
  <c r="J12" i="19" s="1"/>
  <c r="K6" i="19" s="1"/>
  <c r="K12" i="19" s="1"/>
  <c r="L6" i="19" s="1"/>
  <c r="L12" i="19" s="1"/>
  <c r="E8" i="96"/>
  <c r="E11" i="96" s="1"/>
  <c r="H5" i="96" s="1"/>
  <c r="H11" i="96" s="1"/>
  <c r="K5" i="96" s="1"/>
  <c r="K11" i="96" s="1"/>
  <c r="E15" i="96" s="1"/>
  <c r="C8" i="96"/>
  <c r="C11" i="96" s="1"/>
  <c r="F5" i="96" s="1"/>
  <c r="F11" i="96" s="1"/>
  <c r="I5" i="96" s="1"/>
  <c r="I11" i="96" s="1"/>
  <c r="C15" i="96" s="1"/>
  <c r="K29" i="24"/>
  <c r="K30" i="24" s="1"/>
  <c r="K31" i="24" s="1"/>
  <c r="K35" i="24" s="1"/>
  <c r="K40" i="24" s="1"/>
  <c r="J31" i="24"/>
  <c r="J35" i="24" s="1"/>
  <c r="J40" i="24" s="1"/>
  <c r="I9" i="101"/>
  <c r="J25" i="2"/>
  <c r="E27" i="88" s="1"/>
  <c r="I6" i="12"/>
  <c r="G14" i="12"/>
  <c r="D25" i="31"/>
  <c r="C19" i="82"/>
  <c r="C22" i="82"/>
  <c r="C20" i="82"/>
  <c r="C21" i="82"/>
  <c r="C14" i="97"/>
  <c r="E22" i="2"/>
  <c r="D12" i="31"/>
  <c r="D7" i="101" s="1"/>
  <c r="D8" i="101" s="1"/>
  <c r="J22" i="65"/>
  <c r="D9" i="97"/>
  <c r="F52" i="61"/>
  <c r="F56" i="61" s="1"/>
  <c r="F58" i="61" s="1"/>
  <c r="H8" i="31" s="1"/>
  <c r="E24" i="33"/>
  <c r="F9" i="33" s="1"/>
  <c r="E12" i="33"/>
  <c r="E27" i="33" s="1"/>
  <c r="J28" i="65"/>
  <c r="L28" i="65"/>
  <c r="J29" i="65"/>
  <c r="J30" i="65" s="1"/>
  <c r="J37" i="65" s="1"/>
  <c r="L29" i="65"/>
  <c r="J29" i="137"/>
  <c r="K27" i="137"/>
  <c r="L27" i="137" s="1"/>
  <c r="L29" i="137" s="1"/>
  <c r="I53" i="61" s="1"/>
  <c r="K29" i="65"/>
  <c r="K54" i="61"/>
  <c r="K28" i="65"/>
  <c r="K51" i="61"/>
  <c r="J12" i="10"/>
  <c r="E18" i="96"/>
  <c r="K14" i="19"/>
  <c r="H22" i="17"/>
  <c r="C18" i="96"/>
  <c r="I26" i="100" l="1"/>
  <c r="I27" i="100" s="1"/>
  <c r="J25" i="100" s="1"/>
  <c r="K30" i="65"/>
  <c r="K37" i="65" s="1"/>
  <c r="J16" i="103"/>
  <c r="E13" i="82"/>
  <c r="E7" i="101"/>
  <c r="E8" i="101"/>
  <c r="E21" i="96"/>
  <c r="H15" i="96" s="1"/>
  <c r="H21" i="96" s="1"/>
  <c r="C21" i="96"/>
  <c r="F15" i="96" s="1"/>
  <c r="F21" i="96" s="1"/>
  <c r="B13" i="13"/>
  <c r="H7" i="10"/>
  <c r="E6" i="9"/>
  <c r="E11" i="9" s="1"/>
  <c r="E17" i="9" s="1"/>
  <c r="G54" i="17"/>
  <c r="G52" i="17"/>
  <c r="H48" i="17" s="1"/>
  <c r="G53" i="17"/>
  <c r="D55" i="17"/>
  <c r="F43" i="17"/>
  <c r="G43" i="17"/>
  <c r="D29" i="17"/>
  <c r="D27" i="17"/>
  <c r="D28" i="17"/>
  <c r="D35" i="17"/>
  <c r="E9" i="101"/>
  <c r="E10" i="101" s="1"/>
  <c r="E12" i="101" s="1"/>
  <c r="F29" i="2" s="1"/>
  <c r="F26" i="2"/>
  <c r="E13" i="103"/>
  <c r="E14" i="103" s="1"/>
  <c r="E15" i="103" s="1"/>
  <c r="E17" i="103" s="1"/>
  <c r="E19" i="103" s="1"/>
  <c r="F27" i="2" s="1"/>
  <c r="J9" i="101"/>
  <c r="K25" i="2"/>
  <c r="F27" i="88" s="1"/>
  <c r="K9" i="101"/>
  <c r="L25" i="2"/>
  <c r="G27" i="88" s="1"/>
  <c r="K6" i="12"/>
  <c r="I14" i="12"/>
  <c r="I22" i="2"/>
  <c r="C17" i="88"/>
  <c r="E24" i="2"/>
  <c r="C12" i="82" s="1"/>
  <c r="D14" i="97"/>
  <c r="D22" i="82"/>
  <c r="D21" i="82"/>
  <c r="D20" i="82"/>
  <c r="D19" i="82"/>
  <c r="I52" i="61"/>
  <c r="I56" i="61" s="1"/>
  <c r="E9" i="97"/>
  <c r="F24" i="33"/>
  <c r="G9" i="33" s="1"/>
  <c r="F12" i="33"/>
  <c r="F27" i="33" s="1"/>
  <c r="L30" i="65"/>
  <c r="L37" i="65" s="1"/>
  <c r="J53" i="61"/>
  <c r="I57" i="61"/>
  <c r="F15" i="97"/>
  <c r="F16" i="97" s="1"/>
  <c r="J7" i="31"/>
  <c r="K20" i="2" s="1"/>
  <c r="F16" i="88" s="1"/>
  <c r="I7" i="31"/>
  <c r="J20" i="2" s="1"/>
  <c r="E16" i="88" s="1"/>
  <c r="E15" i="97"/>
  <c r="E16" i="97" s="1"/>
  <c r="J7" i="103"/>
  <c r="J10" i="103" s="1"/>
  <c r="N10" i="103" s="1"/>
  <c r="H35" i="17"/>
  <c r="J23" i="24"/>
  <c r="J26" i="24" s="1"/>
  <c r="J26" i="100" l="1"/>
  <c r="J27" i="100"/>
  <c r="K25" i="100" s="1"/>
  <c r="F13" i="82"/>
  <c r="K16" i="103"/>
  <c r="G13" i="82" s="1"/>
  <c r="I58" i="61"/>
  <c r="I8" i="31" s="1"/>
  <c r="J22" i="2" s="1"/>
  <c r="E17" i="88" s="1"/>
  <c r="F55" i="17"/>
  <c r="F45" i="17"/>
  <c r="E29" i="17"/>
  <c r="D40" i="17"/>
  <c r="D41" i="17" s="1"/>
  <c r="D47" i="17"/>
  <c r="D58" i="17" s="1"/>
  <c r="D23" i="12"/>
  <c r="E23" i="12" s="1"/>
  <c r="D57" i="17"/>
  <c r="D59" i="17" s="1"/>
  <c r="E27" i="9"/>
  <c r="E30" i="9" s="1"/>
  <c r="E33" i="9"/>
  <c r="E34" i="9" s="1"/>
  <c r="D45" i="17"/>
  <c r="D46" i="17" s="1"/>
  <c r="F21" i="17"/>
  <c r="H10" i="10"/>
  <c r="H17" i="10" s="1"/>
  <c r="F37" i="2"/>
  <c r="F43" i="2" s="1"/>
  <c r="H43" i="17"/>
  <c r="G55" i="17"/>
  <c r="H23" i="12" s="1"/>
  <c r="G45" i="17"/>
  <c r="H52" i="17"/>
  <c r="I48" i="17" s="1"/>
  <c r="H54" i="17"/>
  <c r="B14" i="13"/>
  <c r="B23" i="13"/>
  <c r="O25" i="2"/>
  <c r="Q26" i="2" s="1"/>
  <c r="Q27" i="2" s="1"/>
  <c r="K14" i="12"/>
  <c r="M6" i="12"/>
  <c r="M14" i="12" s="1"/>
  <c r="E8" i="136"/>
  <c r="E10" i="136" s="1"/>
  <c r="E11" i="136" s="1"/>
  <c r="E33" i="2" s="1"/>
  <c r="J52" i="61"/>
  <c r="J56" i="61" s="1"/>
  <c r="F9" i="97"/>
  <c r="E21" i="82"/>
  <c r="E14" i="97"/>
  <c r="E19" i="82"/>
  <c r="E20" i="82"/>
  <c r="G12" i="33"/>
  <c r="G27" i="33" s="1"/>
  <c r="G24" i="33"/>
  <c r="D17" i="88"/>
  <c r="K7" i="31"/>
  <c r="L20" i="2" s="1"/>
  <c r="G16" i="88" s="1"/>
  <c r="G15" i="97"/>
  <c r="G16" i="97" s="1"/>
  <c r="J57" i="61"/>
  <c r="J58" i="61" s="1"/>
  <c r="J8" i="31" s="1"/>
  <c r="K22" i="2" s="1"/>
  <c r="F17" i="88" s="1"/>
  <c r="K53" i="61"/>
  <c r="K57" i="61" s="1"/>
  <c r="H45" i="17"/>
  <c r="K26" i="100" l="1"/>
  <c r="K27" i="100"/>
  <c r="E35" i="9"/>
  <c r="G57" i="17"/>
  <c r="G59" i="17" s="1"/>
  <c r="H55" i="17"/>
  <c r="J23" i="12" s="1"/>
  <c r="I43" i="17"/>
  <c r="F48" i="2"/>
  <c r="F45" i="2"/>
  <c r="C13" i="13"/>
  <c r="C23" i="13" s="1"/>
  <c r="G6" i="9"/>
  <c r="G11" i="9" s="1"/>
  <c r="G17" i="9" s="1"/>
  <c r="I7" i="10"/>
  <c r="I54" i="17"/>
  <c r="I52" i="17"/>
  <c r="I53" i="17" s="1"/>
  <c r="F32" i="17"/>
  <c r="F27" i="17"/>
  <c r="H53" i="17"/>
  <c r="D60" i="17"/>
  <c r="F23" i="12"/>
  <c r="G23" i="12" s="1"/>
  <c r="I23" i="12" s="1"/>
  <c r="F57" i="17"/>
  <c r="F59" i="17" s="1"/>
  <c r="G9" i="97"/>
  <c r="K52" i="61"/>
  <c r="K56" i="61" s="1"/>
  <c r="K58" i="61" s="1"/>
  <c r="K8" i="31" s="1"/>
  <c r="L22" i="2" s="1"/>
  <c r="G17" i="88" s="1"/>
  <c r="F19" i="82"/>
  <c r="F21" i="82"/>
  <c r="F14" i="97"/>
  <c r="F20" i="82"/>
  <c r="K23" i="12" l="1"/>
  <c r="F34" i="17"/>
  <c r="F40" i="17"/>
  <c r="F41" i="17" s="1"/>
  <c r="I55" i="17"/>
  <c r="L23" i="12" s="1"/>
  <c r="M23" i="12" s="1"/>
  <c r="I45" i="17"/>
  <c r="G27" i="9"/>
  <c r="G30" i="9" s="1"/>
  <c r="G33" i="9"/>
  <c r="G34" i="9" s="1"/>
  <c r="E26" i="2"/>
  <c r="C24" i="88" s="1"/>
  <c r="D13" i="103"/>
  <c r="D14" i="103" s="1"/>
  <c r="D9" i="101"/>
  <c r="D9" i="82"/>
  <c r="E9" i="82"/>
  <c r="I10" i="10"/>
  <c r="I17" i="10" s="1"/>
  <c r="G21" i="17"/>
  <c r="H57" i="17"/>
  <c r="H59" i="17" s="1"/>
  <c r="G19" i="82"/>
  <c r="G14" i="97"/>
  <c r="G21" i="82"/>
  <c r="G20" i="82"/>
  <c r="G27" i="17" l="1"/>
  <c r="G32" i="17"/>
  <c r="G35" i="9"/>
  <c r="J7" i="10"/>
  <c r="H6" i="9"/>
  <c r="H11" i="9" s="1"/>
  <c r="H17" i="9" s="1"/>
  <c r="D13" i="13"/>
  <c r="D23" i="13" s="1"/>
  <c r="D15" i="103"/>
  <c r="D17" i="103" s="1"/>
  <c r="D19" i="103" s="1"/>
  <c r="E27" i="2" s="1"/>
  <c r="C25" i="88" s="1"/>
  <c r="H6" i="103"/>
  <c r="C12" i="115"/>
  <c r="C14" i="115" s="1"/>
  <c r="I57" i="17"/>
  <c r="I59" i="17" s="1"/>
  <c r="F6" i="34"/>
  <c r="F8" i="34" s="1"/>
  <c r="F47" i="17"/>
  <c r="F58" i="17" s="1"/>
  <c r="F60" i="17" s="1"/>
  <c r="F44" i="17"/>
  <c r="F46" i="17" s="1"/>
  <c r="G33" i="17" l="1"/>
  <c r="G40" i="17" s="1"/>
  <c r="H13" i="103"/>
  <c r="H14" i="103" s="1"/>
  <c r="I26" i="2"/>
  <c r="D24" i="88" s="1"/>
  <c r="H9" i="101"/>
  <c r="J10" i="10"/>
  <c r="J17" i="10" s="1"/>
  <c r="H21" i="17"/>
  <c r="F9" i="82"/>
  <c r="F13" i="34"/>
  <c r="H6" i="31"/>
  <c r="I33" i="9"/>
  <c r="I34" i="9" s="1"/>
  <c r="I27" i="9"/>
  <c r="I30" i="9" s="1"/>
  <c r="H15" i="103" l="1"/>
  <c r="H17" i="103" s="1"/>
  <c r="D12" i="115"/>
  <c r="D14" i="115" s="1"/>
  <c r="I6" i="103"/>
  <c r="H32" i="17"/>
  <c r="H27" i="17"/>
  <c r="G34" i="17"/>
  <c r="I21" i="2"/>
  <c r="H12" i="31"/>
  <c r="H7" i="101" s="1"/>
  <c r="H8" i="101" s="1"/>
  <c r="E13" i="13"/>
  <c r="E23" i="13" s="1"/>
  <c r="K7" i="10"/>
  <c r="I6" i="9"/>
  <c r="I11" i="9" s="1"/>
  <c r="I17" i="9" s="1"/>
  <c r="I35" i="9"/>
  <c r="H33" i="17" l="1"/>
  <c r="H34" i="17" s="1"/>
  <c r="K27" i="9"/>
  <c r="K30" i="9" s="1"/>
  <c r="K33" i="9"/>
  <c r="K34" i="9" s="1"/>
  <c r="K10" i="10"/>
  <c r="K17" i="10" s="1"/>
  <c r="I21" i="17"/>
  <c r="G47" i="17"/>
  <c r="G58" i="17" s="1"/>
  <c r="G60" i="17" s="1"/>
  <c r="G9" i="82" s="1"/>
  <c r="G6" i="34"/>
  <c r="G8" i="34" s="1"/>
  <c r="G44" i="17"/>
  <c r="G46" i="17" s="1"/>
  <c r="G41" i="17"/>
  <c r="D15" i="88"/>
  <c r="I24" i="2"/>
  <c r="D12" i="82" s="1"/>
  <c r="H19" i="103"/>
  <c r="I27" i="2" s="1"/>
  <c r="D25" i="88" s="1"/>
  <c r="E18" i="116"/>
  <c r="E20" i="116" s="1"/>
  <c r="E22" i="116" s="1"/>
  <c r="K35" i="9" l="1"/>
  <c r="H40" i="17"/>
  <c r="H41" i="17" s="1"/>
  <c r="I32" i="17"/>
  <c r="I27" i="17"/>
  <c r="J26" i="2"/>
  <c r="E24" i="88" s="1"/>
  <c r="I13" i="103"/>
  <c r="I14" i="103" s="1"/>
  <c r="I6" i="31"/>
  <c r="G13" i="34"/>
  <c r="I8" i="101" s="1"/>
  <c r="J6" i="9"/>
  <c r="J11" i="9" s="1"/>
  <c r="J17" i="9" s="1"/>
  <c r="F13" i="13"/>
  <c r="H6" i="34"/>
  <c r="H8" i="34" s="1"/>
  <c r="H44" i="17"/>
  <c r="H46" i="17" s="1"/>
  <c r="H47" i="17"/>
  <c r="H58" i="17" s="1"/>
  <c r="H60" i="17" s="1"/>
  <c r="I15" i="103" l="1"/>
  <c r="I17" i="103" s="1"/>
  <c r="I19" i="103" s="1"/>
  <c r="J27" i="2" s="1"/>
  <c r="E25" i="88" s="1"/>
  <c r="J6" i="103"/>
  <c r="J13" i="103"/>
  <c r="K26" i="2"/>
  <c r="F24" i="88" s="1"/>
  <c r="M33" i="9"/>
  <c r="M34" i="9" s="1"/>
  <c r="M27" i="9"/>
  <c r="M30" i="9" s="1"/>
  <c r="F14" i="13"/>
  <c r="F23" i="13"/>
  <c r="J6" i="31"/>
  <c r="H13" i="34"/>
  <c r="J8" i="101" s="1"/>
  <c r="I12" i="31"/>
  <c r="I7" i="101" s="1"/>
  <c r="J21" i="2"/>
  <c r="I33" i="17"/>
  <c r="I34" i="17" s="1"/>
  <c r="J14" i="103" l="1"/>
  <c r="I40" i="17"/>
  <c r="I41" i="17" s="1"/>
  <c r="K6" i="103"/>
  <c r="J15" i="103"/>
  <c r="J17" i="103" s="1"/>
  <c r="J19" i="103" s="1"/>
  <c r="K27" i="2" s="1"/>
  <c r="F25" i="88" s="1"/>
  <c r="M35" i="9"/>
  <c r="J24" i="2"/>
  <c r="E15" i="88"/>
  <c r="I44" i="17"/>
  <c r="I46" i="17" s="1"/>
  <c r="I47" i="17"/>
  <c r="I58" i="17" s="1"/>
  <c r="I60" i="17" s="1"/>
  <c r="I6" i="34"/>
  <c r="I8" i="34" s="1"/>
  <c r="I13" i="34" s="1"/>
  <c r="J12" i="31"/>
  <c r="J7" i="101" s="1"/>
  <c r="K21" i="2"/>
  <c r="L26" i="2" l="1"/>
  <c r="G24" i="88" s="1"/>
  <c r="K13" i="103"/>
  <c r="K8" i="101"/>
  <c r="K6" i="31"/>
  <c r="F15" i="88"/>
  <c r="K24" i="2"/>
  <c r="K14" i="103"/>
  <c r="K15" i="103" s="1"/>
  <c r="K17" i="103" s="1"/>
  <c r="K19" i="103" s="1"/>
  <c r="L27" i="2" s="1"/>
  <c r="G25" i="88" s="1"/>
  <c r="K12" i="31" l="1"/>
  <c r="K7" i="101" s="1"/>
  <c r="L21" i="2"/>
  <c r="L24" i="2" l="1"/>
  <c r="G15" i="88"/>
  <c r="D6" i="109" l="1"/>
  <c r="D7" i="109"/>
  <c r="D8" i="109"/>
  <c r="D9" i="109"/>
  <c r="D10" i="109"/>
  <c r="D11" i="109"/>
  <c r="D17" i="109"/>
  <c r="D20" i="109"/>
  <c r="J15" i="2"/>
  <c r="K15" i="2"/>
  <c r="L15" i="2"/>
  <c r="J17" i="2"/>
  <c r="K17" i="2"/>
  <c r="L17" i="2"/>
  <c r="E29" i="2"/>
  <c r="I29" i="2"/>
  <c r="J29" i="2"/>
  <c r="K29" i="2"/>
  <c r="L29" i="2"/>
  <c r="E31" i="2"/>
  <c r="E32" i="2"/>
  <c r="E34" i="2"/>
  <c r="E35" i="2"/>
  <c r="E36" i="2"/>
  <c r="E37" i="2"/>
  <c r="I37" i="2"/>
  <c r="J37" i="2"/>
  <c r="K37" i="2"/>
  <c r="L37" i="2"/>
  <c r="I40" i="2"/>
  <c r="J40" i="2"/>
  <c r="K40" i="2"/>
  <c r="L40" i="2"/>
  <c r="I42" i="2"/>
  <c r="J42" i="2"/>
  <c r="K42" i="2"/>
  <c r="L42" i="2"/>
  <c r="E43" i="2"/>
  <c r="I43" i="2"/>
  <c r="J43" i="2"/>
  <c r="K43" i="2"/>
  <c r="L43" i="2"/>
  <c r="E45" i="2"/>
  <c r="I45" i="2"/>
  <c r="J47" i="2"/>
  <c r="I48" i="2"/>
  <c r="H19" i="100"/>
  <c r="I19" i="100"/>
  <c r="J19" i="100"/>
  <c r="K19" i="100"/>
  <c r="H20" i="100"/>
  <c r="I20" i="100"/>
  <c r="J20" i="100"/>
  <c r="K20" i="100"/>
  <c r="H21" i="100"/>
  <c r="I21" i="100"/>
  <c r="J21" i="100"/>
  <c r="K21" i="100"/>
  <c r="D6" i="101"/>
  <c r="H6" i="101"/>
  <c r="I6" i="101"/>
  <c r="J6" i="101"/>
  <c r="K6" i="101"/>
  <c r="D10" i="101"/>
  <c r="H10" i="101"/>
  <c r="I10" i="101"/>
  <c r="J10" i="101"/>
  <c r="K10" i="101"/>
  <c r="D12" i="101"/>
  <c r="H12" i="101"/>
  <c r="I12" i="101"/>
  <c r="J12" i="101"/>
  <c r="K12" i="101"/>
  <c r="I22" i="4"/>
  <c r="J22" i="4"/>
  <c r="K22" i="4"/>
  <c r="I30" i="4"/>
  <c r="J30" i="4"/>
  <c r="K30" i="4"/>
  <c r="I7" i="58"/>
  <c r="J7" i="58"/>
  <c r="K7" i="58"/>
  <c r="I8" i="58"/>
  <c r="J8" i="58"/>
  <c r="K8" i="58"/>
  <c r="I12" i="58"/>
  <c r="J12" i="58"/>
  <c r="K12" i="58"/>
  <c r="I15" i="58"/>
  <c r="J15" i="58"/>
  <c r="K15" i="58"/>
  <c r="I17" i="58"/>
  <c r="J17" i="58"/>
  <c r="K17" i="58"/>
  <c r="I18" i="58"/>
  <c r="J18" i="58"/>
  <c r="K18" i="58"/>
  <c r="C24" i="58"/>
  <c r="C25" i="58"/>
  <c r="C29" i="58"/>
  <c r="H29" i="58"/>
  <c r="C31" i="58"/>
  <c r="H31" i="58"/>
  <c r="C33" i="58"/>
  <c r="C34" i="58"/>
  <c r="C38" i="58"/>
  <c r="H38" i="58"/>
  <c r="N38" i="58"/>
  <c r="D22" i="94"/>
  <c r="D23" i="94"/>
  <c r="D29" i="94"/>
  <c r="D30" i="94"/>
  <c r="C10" i="82"/>
  <c r="D10" i="82"/>
  <c r="E10" i="82"/>
  <c r="F10" i="82"/>
  <c r="G10" i="82"/>
  <c r="C11" i="82"/>
  <c r="D11" i="82"/>
  <c r="E11" i="82"/>
  <c r="F11" i="82"/>
  <c r="G11" i="82"/>
  <c r="E12" i="82"/>
  <c r="F12" i="82"/>
  <c r="G12" i="82"/>
  <c r="E14" i="82"/>
  <c r="F14" i="82"/>
  <c r="G14" i="82"/>
  <c r="C16" i="82"/>
  <c r="D16" i="82"/>
  <c r="E16" i="82"/>
  <c r="F16" i="82"/>
  <c r="G16" i="82"/>
  <c r="E22" i="82"/>
  <c r="F22" i="82"/>
  <c r="G22" i="82"/>
  <c r="E7" i="88"/>
  <c r="F7" i="88"/>
  <c r="G7" i="88"/>
  <c r="E8" i="88"/>
  <c r="F8" i="88"/>
  <c r="G8" i="88"/>
  <c r="E9" i="88"/>
  <c r="F9" i="88"/>
  <c r="G9" i="88"/>
  <c r="D12" i="88"/>
  <c r="E12" i="88"/>
  <c r="F12" i="88"/>
  <c r="G12" i="88"/>
  <c r="D13" i="88"/>
  <c r="E13" i="88"/>
  <c r="F13" i="88"/>
  <c r="G13" i="88"/>
  <c r="C19" i="88"/>
  <c r="D19" i="88"/>
  <c r="E19" i="88"/>
  <c r="F19" i="88"/>
  <c r="G19" i="88"/>
  <c r="C20" i="88"/>
  <c r="C21" i="88"/>
  <c r="C22" i="88"/>
  <c r="C28" i="88"/>
  <c r="D28" i="88"/>
  <c r="E28" i="88"/>
  <c r="F28" i="88"/>
  <c r="G28" i="88"/>
  <c r="C30" i="88"/>
  <c r="D30" i="88"/>
  <c r="E16" i="136"/>
  <c r="E18" i="136"/>
  <c r="E19" i="136"/>
  <c r="E20" i="136"/>
  <c r="E25" i="136"/>
  <c r="E26" i="136"/>
  <c r="E27" i="136"/>
  <c r="E32" i="136"/>
  <c r="E33" i="136"/>
  <c r="E34" i="136"/>
</calcChain>
</file>

<file path=xl/comments1.xml><?xml version="1.0" encoding="utf-8"?>
<comments xmlns="http://schemas.openxmlformats.org/spreadsheetml/2006/main">
  <authors>
    <author>palaniappan</author>
  </authors>
  <commentList>
    <comment ref="G5" authorId="0" shapeId="0">
      <text>
        <r>
          <rPr>
            <b/>
            <sz val="9"/>
            <color indexed="81"/>
            <rFont val="Tahoma"/>
            <family val="2"/>
          </rPr>
          <t>palaniappan:</t>
        </r>
        <r>
          <rPr>
            <sz val="9"/>
            <color indexed="81"/>
            <rFont val="Tahoma"/>
            <family val="2"/>
          </rPr>
          <t xml:space="preserve">
this column will have to be filled</t>
        </r>
      </text>
    </comment>
  </commentList>
</comments>
</file>

<file path=xl/comments2.xml><?xml version="1.0" encoding="utf-8"?>
<comments xmlns="http://schemas.openxmlformats.org/spreadsheetml/2006/main">
  <authors>
    <author>tc={150856DE-8F98-4C71-82B5-50F02A8A5806}</author>
    <author>tc={150856DE-8F98-4C72-82B5-50F02A8A5806}</author>
  </authors>
  <commentList>
    <comment ref="F56"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Considered same as above</t>
        </r>
      </text>
    </comment>
    <comment ref="H56"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Considered same as above</t>
        </r>
      </text>
    </comment>
  </commentList>
</comments>
</file>

<file path=xl/comments3.xml><?xml version="1.0" encoding="utf-8"?>
<comments xmlns="http://schemas.openxmlformats.org/spreadsheetml/2006/main">
  <authors>
    <author>ABPS</author>
    <author>palaniappan</author>
  </authors>
  <commentList>
    <comment ref="D19" authorId="0" shapeId="0">
      <text>
        <r>
          <rPr>
            <b/>
            <sz val="9"/>
            <color indexed="81"/>
            <rFont val="Tahoma"/>
            <family val="2"/>
          </rPr>
          <t>ABPS:</t>
        </r>
        <r>
          <rPr>
            <sz val="9"/>
            <color indexed="81"/>
            <rFont val="Tahoma"/>
            <family val="2"/>
          </rPr>
          <t xml:space="preserve">
Same as approved in TUP of 2018-19</t>
        </r>
      </text>
    </comment>
    <comment ref="H19" authorId="0" shapeId="0">
      <text>
        <r>
          <rPr>
            <b/>
            <sz val="9"/>
            <color indexed="81"/>
            <rFont val="Tahoma"/>
            <family val="2"/>
          </rPr>
          <t>ABPS:</t>
        </r>
        <r>
          <rPr>
            <sz val="9"/>
            <color indexed="81"/>
            <rFont val="Tahoma"/>
            <family val="2"/>
          </rPr>
          <t xml:space="preserve">
Considered same as Previous Year</t>
        </r>
      </text>
    </comment>
    <comment ref="K19" authorId="1" shapeId="0">
      <text>
        <r>
          <rPr>
            <b/>
            <sz val="9"/>
            <color indexed="81"/>
            <rFont val="Tahoma"/>
            <family val="2"/>
          </rPr>
          <t>palaniappan:</t>
        </r>
        <r>
          <rPr>
            <sz val="9"/>
            <color indexed="81"/>
            <rFont val="Tahoma"/>
            <family val="2"/>
          </rPr>
          <t xml:space="preserve">
assumed same level as FY20</t>
        </r>
      </text>
    </comment>
  </commentList>
</comments>
</file>

<file path=xl/sharedStrings.xml><?xml version="1.0" encoding="utf-8"?>
<sst xmlns="http://schemas.openxmlformats.org/spreadsheetml/2006/main" count="8105" uniqueCount="2746">
  <si>
    <t>Name of Company:</t>
  </si>
  <si>
    <t>Name of the Project:</t>
  </si>
  <si>
    <t>Name of the Transmission Element:</t>
  </si>
  <si>
    <t xml:space="preserve">INDEX OF FORMATS </t>
  </si>
  <si>
    <t>PARTICULARS</t>
  </si>
  <si>
    <t>Form</t>
  </si>
  <si>
    <t>Annual Revenue Requirement Summary</t>
  </si>
  <si>
    <t>Projection of Sales, Connected Load and Demand</t>
  </si>
  <si>
    <t>Details of Transmission Lines and Substations</t>
  </si>
  <si>
    <t>Statement of Assets not in Use</t>
  </si>
  <si>
    <t>Normative Parameters Considered for Tariff Computations</t>
  </si>
  <si>
    <t>Abstract of admitted Capital Cost for the existing Project</t>
  </si>
  <si>
    <t>Details of Foreign Loans</t>
  </si>
  <si>
    <t>Details of Foreign Equity</t>
  </si>
  <si>
    <t>Capital Cost Estimates and Schedule of Commissioning for New projects</t>
  </si>
  <si>
    <t>Break-up of Project Cost for Transmission System</t>
  </si>
  <si>
    <t>Break-up of Construction/ Supply/ Service packages</t>
  </si>
  <si>
    <t>Draw Down Schedule for Calculation of IDC &amp; Financing Charges</t>
  </si>
  <si>
    <t>Financial Package Upto CoD</t>
  </si>
  <si>
    <t>Details of Project Specific Loans</t>
  </si>
  <si>
    <t>Details of Allocation of corporate loans to various transmission projects</t>
  </si>
  <si>
    <t>Statement of Additional Capitalisation after COD</t>
  </si>
  <si>
    <t>Financing of Additional Capitalisation</t>
  </si>
  <si>
    <t>Statement of Capital Cost</t>
  </si>
  <si>
    <t>Statement of Capital Works in Progress</t>
  </si>
  <si>
    <t>R&amp;M Expenses</t>
  </si>
  <si>
    <t>Employee Expenses</t>
  </si>
  <si>
    <t>Employee Strength</t>
  </si>
  <si>
    <t>Administration &amp; General Expenses</t>
  </si>
  <si>
    <t>Fixed Assets and Depreciation</t>
  </si>
  <si>
    <t>Consumer contributions and grants towards cost of capital assets</t>
  </si>
  <si>
    <t xml:space="preserve">Interest and Finance Charges </t>
  </si>
  <si>
    <t>Statement of Equity</t>
  </si>
  <si>
    <t>Working Capital Requirements</t>
  </si>
  <si>
    <t>Details of Non-tariff Income</t>
  </si>
  <si>
    <t>Details of Income from Other Business</t>
  </si>
  <si>
    <t>Details of Expenses Capitalised</t>
  </si>
  <si>
    <t>Income Tax Provisions</t>
  </si>
  <si>
    <t>Instructions for the Applicant</t>
  </si>
  <si>
    <t>1)</t>
  </si>
  <si>
    <t>Electronic copy in the form of CD/ Floppy Disc shall also be furnished</t>
  </si>
  <si>
    <t>2)</t>
  </si>
  <si>
    <t>These formats are indicative in nature and the utility may align the line items to its chart of accounts</t>
  </si>
  <si>
    <t>Regulation Ref.</t>
  </si>
  <si>
    <t>S.No</t>
  </si>
  <si>
    <t>Format</t>
  </si>
  <si>
    <t>No.</t>
  </si>
  <si>
    <t>Name of Transmission Licensee</t>
  </si>
  <si>
    <t>Particulars</t>
  </si>
  <si>
    <t>I.</t>
  </si>
  <si>
    <t>Energy Available (MU)</t>
  </si>
  <si>
    <t>II.</t>
  </si>
  <si>
    <t>Energy Transmitted/Wheeled (MU)</t>
  </si>
  <si>
    <t>III.</t>
  </si>
  <si>
    <t>Loss %</t>
  </si>
  <si>
    <t>IV.</t>
  </si>
  <si>
    <t>Transmission Cost per unit (Rs/U)</t>
  </si>
  <si>
    <t>V</t>
  </si>
  <si>
    <t>Total Transmission System Capacity (in MW)</t>
  </si>
  <si>
    <t>VI.</t>
  </si>
  <si>
    <t>Transmission Cost per MW</t>
  </si>
  <si>
    <t>VII.</t>
  </si>
  <si>
    <t>Max Demand handled by the transmission system  (in MW)</t>
  </si>
  <si>
    <t>Receipts</t>
  </si>
  <si>
    <t>a</t>
  </si>
  <si>
    <t>b</t>
  </si>
  <si>
    <t>c</t>
  </si>
  <si>
    <t xml:space="preserve">Subsidy from Govt. (If any) </t>
  </si>
  <si>
    <t>Total</t>
  </si>
  <si>
    <t>Expenditure</t>
  </si>
  <si>
    <t>R&amp;M Expense</t>
  </si>
  <si>
    <t>A&amp;G Expense</t>
  </si>
  <si>
    <t>Depreciation</t>
  </si>
  <si>
    <t>e</t>
  </si>
  <si>
    <t>f</t>
  </si>
  <si>
    <t>g</t>
  </si>
  <si>
    <t>Extraordinary Items</t>
  </si>
  <si>
    <t>Operations  &amp; Maintenance Cost</t>
  </si>
  <si>
    <t>Alloted Transmission Capacity  of  Long Term Transmission Customers ( CL)</t>
  </si>
  <si>
    <t xml:space="preserve">Charges to be paid by Long Term Transmission Customers/month </t>
  </si>
  <si>
    <t>Actual Cash Expenditure</t>
  </si>
  <si>
    <t>Reconciliation of Capital Cost with Gross Block</t>
  </si>
  <si>
    <t>Reconciliation of Capital WIP with Financial Accounts</t>
  </si>
  <si>
    <t>Reconcilation of Capital Liabilties with Finacial Accounts</t>
  </si>
  <si>
    <t>Retirement Pattern</t>
  </si>
  <si>
    <t>Calculation of Weighted Average Rate of Interest on Actual Loans</t>
  </si>
  <si>
    <t>Calculation of Interest on Normative Loan</t>
  </si>
  <si>
    <t>Calculation of Depreciation Rate</t>
  </si>
  <si>
    <t>Statement of Depreciation</t>
  </si>
  <si>
    <t>Return on Equity</t>
  </si>
  <si>
    <t xml:space="preserve">Domestic loans,bonds and financial leasing </t>
  </si>
  <si>
    <t>Net Prior Period Expenses/Income</t>
  </si>
  <si>
    <t>Investments</t>
  </si>
  <si>
    <t>Current Assets and Liabilities</t>
  </si>
  <si>
    <t>Other Debits</t>
  </si>
  <si>
    <t>F1</t>
  </si>
  <si>
    <t>F2</t>
  </si>
  <si>
    <t>F3</t>
  </si>
  <si>
    <t>F5</t>
  </si>
  <si>
    <t>F4</t>
  </si>
  <si>
    <t>F16</t>
  </si>
  <si>
    <t>F14</t>
  </si>
  <si>
    <t>F13</t>
  </si>
  <si>
    <t>F7</t>
  </si>
  <si>
    <t>F8</t>
  </si>
  <si>
    <t>F9</t>
  </si>
  <si>
    <t>F15</t>
  </si>
  <si>
    <t>F17</t>
  </si>
  <si>
    <t>F4A</t>
  </si>
  <si>
    <t>F6</t>
  </si>
  <si>
    <t>F10</t>
  </si>
  <si>
    <t>F11</t>
  </si>
  <si>
    <t>F12</t>
  </si>
  <si>
    <t>F19</t>
  </si>
  <si>
    <t>F18</t>
  </si>
  <si>
    <t>F20</t>
  </si>
  <si>
    <t>F21</t>
  </si>
  <si>
    <t>F22</t>
  </si>
  <si>
    <t>F23</t>
  </si>
  <si>
    <t>F24</t>
  </si>
  <si>
    <t>F25</t>
  </si>
  <si>
    <t>F26</t>
  </si>
  <si>
    <t>F27</t>
  </si>
  <si>
    <t>F28</t>
  </si>
  <si>
    <t>F29</t>
  </si>
  <si>
    <t>(16.5.2)</t>
  </si>
  <si>
    <t>(4.8),( 5.1),(6)</t>
  </si>
  <si>
    <t>21(b), (16.5.1)</t>
  </si>
  <si>
    <t>(17.1.3)</t>
  </si>
  <si>
    <t>17.1.1</t>
  </si>
  <si>
    <t>(26), (22)</t>
  </si>
  <si>
    <t>(17.1), 34</t>
  </si>
  <si>
    <t>17, 18, 22</t>
  </si>
  <si>
    <t>26, 19</t>
  </si>
  <si>
    <t>FY (n-1)</t>
  </si>
  <si>
    <t>PY 1</t>
  </si>
  <si>
    <t>FY (n+1)</t>
  </si>
  <si>
    <t>A</t>
  </si>
  <si>
    <t>Distribution Licensees</t>
  </si>
  <si>
    <t xml:space="preserve">Others </t>
  </si>
  <si>
    <t xml:space="preserve">i. </t>
  </si>
  <si>
    <t xml:space="preserve">ii. </t>
  </si>
  <si>
    <t>B</t>
  </si>
  <si>
    <t xml:space="preserve">Bulk Consumers/Long Term Open Access Customers  (If any) </t>
  </si>
  <si>
    <t xml:space="preserve">Bulk Consumers/Long Term Open Access Consumers  (If any) </t>
  </si>
  <si>
    <t>Form No: F1</t>
  </si>
  <si>
    <t>Others</t>
  </si>
  <si>
    <t xml:space="preserve">TOTAL </t>
  </si>
  <si>
    <t>B) Projection of Connected Load (in KW)</t>
  </si>
  <si>
    <t>Transmission Lines</t>
  </si>
  <si>
    <t>No</t>
  </si>
  <si>
    <t>%</t>
  </si>
  <si>
    <t>Target Availability</t>
  </si>
  <si>
    <t>% of O&amp;M</t>
  </si>
  <si>
    <t>Receivebles for Working Capital</t>
  </si>
  <si>
    <t>in Months</t>
  </si>
  <si>
    <t>Rs Crores</t>
  </si>
  <si>
    <t>Financial Year*</t>
  </si>
  <si>
    <t>Sl. No.</t>
  </si>
  <si>
    <t>Date of Acquisition/Installation</t>
  </si>
  <si>
    <t>Historical Cost/Cost of Acquisition</t>
  </si>
  <si>
    <t xml:space="preserve">Date of withdrawal operations </t>
  </si>
  <si>
    <t>Accumulated Depreciation on date of withdrawal</t>
  </si>
  <si>
    <t>Written down value on date of withdrawal</t>
  </si>
  <si>
    <t>Balance at the start of the year</t>
  </si>
  <si>
    <t>Balance at the end of the Year</t>
  </si>
  <si>
    <t>Grant Towards Cost Of Capital Assets</t>
  </si>
  <si>
    <t>Date of approval of the Capital cost estimates:</t>
  </si>
  <si>
    <t xml:space="preserve">Present Day Cost  </t>
  </si>
  <si>
    <t xml:space="preserve">Completed Cost </t>
  </si>
  <si>
    <t>Price level of approved estimates</t>
  </si>
  <si>
    <t>As of End of ________
Qtr. Of the year _________</t>
  </si>
  <si>
    <t>Foreign Exchange rate considered for the Capital cost estimates</t>
  </si>
  <si>
    <t>Capital Cost excluding IDC, FC, FERC &amp; Hedging Cost</t>
  </si>
  <si>
    <t>Foreign Component, if any (In Million US $ or the relevant Currency)</t>
  </si>
  <si>
    <t>IDC, FC, FERC &amp; Hedging Cost</t>
  </si>
  <si>
    <t>Capital cost Including IDC, FC, FERC &amp; Hedging Cost</t>
  </si>
  <si>
    <t>Schedule of Commissioning</t>
  </si>
  <si>
    <t>-------------------------</t>
  </si>
  <si>
    <t>---------------------------</t>
  </si>
  <si>
    <t>COD of last Unit/ Block</t>
  </si>
  <si>
    <t xml:space="preserve">Note:   </t>
  </si>
  <si>
    <t>1. Copy of approval letter should be enclosed.</t>
  </si>
  <si>
    <t>C</t>
  </si>
  <si>
    <t>D</t>
  </si>
  <si>
    <t>E</t>
  </si>
  <si>
    <t>F</t>
  </si>
  <si>
    <t>Note:</t>
  </si>
  <si>
    <t>Date of Award</t>
  </si>
  <si>
    <t>Year</t>
  </si>
  <si>
    <t>Work/ Equipment proposed to be added after COD up to Cut off Date/ Beyond Cut off Date</t>
  </si>
  <si>
    <t>Amount capitalised and Proposed to be capitalised</t>
  </si>
  <si>
    <t>Justification</t>
  </si>
  <si>
    <t>Regulations under which covered</t>
  </si>
  <si>
    <t xml:space="preserve"> Note:</t>
  </si>
  <si>
    <t xml:space="preserve">   </t>
  </si>
  <si>
    <t>Amount of IDC, FC, FERV &amp; Hedging cost included in B(a) above</t>
  </si>
  <si>
    <t>Amount of IEDC (excluding IDC, FC, FERV &amp; Hedging cost) included in B(a)</t>
  </si>
  <si>
    <t>Amount of IDC, FC, FERV &amp; Hedging cost included in a above</t>
  </si>
  <si>
    <t>Date</t>
  </si>
  <si>
    <t>Amount (Foreign Currency)</t>
  </si>
  <si>
    <t>Exchange Rate</t>
  </si>
  <si>
    <t>Scheduled Principal Repayment</t>
  </si>
  <si>
    <t>Scheduled Interest payment</t>
  </si>
  <si>
    <t>Period of hedging</t>
  </si>
  <si>
    <t>Cost of hedging</t>
  </si>
  <si>
    <t>Quantum in Foreign currency</t>
  </si>
  <si>
    <t>Exchange Rate on draw down date</t>
  </si>
  <si>
    <t>Amount in Indian Rupee</t>
  </si>
  <si>
    <t>Loans</t>
  </si>
  <si>
    <t>Foreign Loans</t>
  </si>
  <si>
    <t>1.1.1</t>
  </si>
  <si>
    <t>Foreign Loan 1</t>
  </si>
  <si>
    <t xml:space="preserve">Draw down Amount </t>
  </si>
  <si>
    <t>IDC</t>
  </si>
  <si>
    <t>Financing charges</t>
  </si>
  <si>
    <t>1.1.2</t>
  </si>
  <si>
    <t>Foreign Loan 2</t>
  </si>
  <si>
    <t>- -</t>
  </si>
  <si>
    <t>Equity</t>
  </si>
  <si>
    <t>Currency</t>
  </si>
  <si>
    <t>Amount</t>
  </si>
  <si>
    <t>Loan-I</t>
  </si>
  <si>
    <t>Loan-II</t>
  </si>
  <si>
    <t>and so on</t>
  </si>
  <si>
    <t>Total Loan</t>
  </si>
  <si>
    <t>Foreign</t>
  </si>
  <si>
    <t>Domestic</t>
  </si>
  <si>
    <t>Total Equity</t>
  </si>
  <si>
    <t xml:space="preserve">Debt : Equity Ratio </t>
  </si>
  <si>
    <t>Actual</t>
  </si>
  <si>
    <t>Opening Balance at the beginning of the year</t>
  </si>
  <si>
    <t>Amount received during the year</t>
  </si>
  <si>
    <t>Principal repayment</t>
  </si>
  <si>
    <t>Interest</t>
  </si>
  <si>
    <t>Closing Balance</t>
  </si>
  <si>
    <t>Principal not overdue</t>
  </si>
  <si>
    <t>Principal overdue</t>
  </si>
  <si>
    <t>Interest overdue</t>
  </si>
  <si>
    <t>Due</t>
  </si>
  <si>
    <t>Paid</t>
  </si>
  <si>
    <t>Principal</t>
  </si>
  <si>
    <t>Interest Overdue</t>
  </si>
  <si>
    <t>LONG-TERM</t>
  </si>
  <si>
    <t>LIC</t>
  </si>
  <si>
    <t>REC</t>
  </si>
  <si>
    <t>PFC</t>
  </si>
  <si>
    <t>Bank</t>
  </si>
  <si>
    <t>SHORT-TERM</t>
  </si>
  <si>
    <t>Sl.No.</t>
  </si>
  <si>
    <t xml:space="preserve">Repair &amp; Maintenance Expenses </t>
  </si>
  <si>
    <t xml:space="preserve">Employee Expenses </t>
  </si>
  <si>
    <t xml:space="preserve">Administrative and General Expenses </t>
  </si>
  <si>
    <t xml:space="preserve">Less : </t>
  </si>
  <si>
    <t xml:space="preserve">Expenses Capitalized </t>
  </si>
  <si>
    <t xml:space="preserve">Net  O&amp;M Expenses </t>
  </si>
  <si>
    <t>Others (please specify)</t>
  </si>
  <si>
    <t>Building</t>
  </si>
  <si>
    <t>Equity (Opening Balance)</t>
  </si>
  <si>
    <t>Equity (Closing Balance)</t>
  </si>
  <si>
    <t xml:space="preserve">Average Equity </t>
  </si>
  <si>
    <t>S.No.</t>
  </si>
  <si>
    <t>Form No: F10</t>
  </si>
  <si>
    <t>Interest &amp; Finance charges Capitalised</t>
  </si>
  <si>
    <t>Other expenses capitalised:</t>
  </si>
  <si>
    <t>a. Employee expenses</t>
  </si>
  <si>
    <t>b. R&amp;M Expenses</t>
  </si>
  <si>
    <t>c. A&amp;G Expenses</t>
  </si>
  <si>
    <t>d. Depreciation</t>
  </si>
  <si>
    <t>e. Others, if any</t>
  </si>
  <si>
    <t>Total of 2</t>
  </si>
  <si>
    <t>Grand Total</t>
  </si>
  <si>
    <t>Extraordinary Credits</t>
  </si>
  <si>
    <t>TOTAL CREDITS</t>
  </si>
  <si>
    <t xml:space="preserve">Extraordinary Debits </t>
  </si>
  <si>
    <t>TOTAL DEBITS</t>
  </si>
  <si>
    <t>Net Prior Period Expenses / Income</t>
  </si>
  <si>
    <t>Income relating to previous years:</t>
  </si>
  <si>
    <t>Interest income for prior periods</t>
  </si>
  <si>
    <t>Income Tax prior period</t>
  </si>
  <si>
    <t>Excess Provision for Depreciation</t>
  </si>
  <si>
    <t>Excess Provision for Interest and Fin. Charges</t>
  </si>
  <si>
    <t>Other Excess Provision</t>
  </si>
  <si>
    <t>Sub-Total A</t>
  </si>
  <si>
    <t>Expenditure relating to previous years</t>
  </si>
  <si>
    <t>Employee Cost</t>
  </si>
  <si>
    <t>Interest and Finance Charges</t>
  </si>
  <si>
    <t>Admn. Expenses</t>
  </si>
  <si>
    <t>Withdrawal of Revenue Demand</t>
  </si>
  <si>
    <t xml:space="preserve">Material Related </t>
  </si>
  <si>
    <t>Sub-Total B</t>
  </si>
  <si>
    <t>Net prior period Credit/(Charges) : A-B</t>
  </si>
  <si>
    <t>Investments in Non business related activities</t>
  </si>
  <si>
    <t>Description of investment</t>
  </si>
  <si>
    <t>Balance at the beginning of the year</t>
  </si>
  <si>
    <t>Further Investments during the year</t>
  </si>
  <si>
    <t>Investments realised during the year</t>
  </si>
  <si>
    <t>Balance at the end of the year</t>
  </si>
  <si>
    <t>Remarks</t>
  </si>
  <si>
    <t>Form No: F11</t>
  </si>
  <si>
    <t>Sl.No</t>
  </si>
  <si>
    <t>O&amp;M Expenses</t>
  </si>
  <si>
    <t>i</t>
  </si>
  <si>
    <t>ii</t>
  </si>
  <si>
    <t>Interest on Loan</t>
  </si>
  <si>
    <t>Income from other Business</t>
  </si>
  <si>
    <t>A.</t>
  </si>
  <si>
    <t>Income from Transmission Function</t>
  </si>
  <si>
    <t>iii</t>
  </si>
  <si>
    <t>Total O&amp;M expenses ( i+ii+iii)</t>
  </si>
  <si>
    <t>Total Receipts ( A)</t>
  </si>
  <si>
    <t>Total Expenditure ( B)</t>
  </si>
  <si>
    <t>Other Deductions</t>
  </si>
  <si>
    <t>Total Other Deductions ( C)</t>
  </si>
  <si>
    <t>G</t>
  </si>
  <si>
    <t>Net ARR for Transmission Function ( B-C)</t>
  </si>
  <si>
    <t>Tariff Revision Impact</t>
  </si>
  <si>
    <t>I</t>
  </si>
  <si>
    <t>Transmission/Wheeling Charges at current tariff rates</t>
  </si>
  <si>
    <t>6.1,6.3,20.1,12.3,12.6,28,16.5.2</t>
  </si>
  <si>
    <t>Rs. Crores</t>
  </si>
  <si>
    <t>Domestic Component (Rs. crores)</t>
  </si>
  <si>
    <t>Capital cost excluding IDC, FC, FERC &amp; Hedging Cost (Rs. crores)</t>
  </si>
  <si>
    <t>Total IDC, FC, FERC &amp; Hedging Cost (Rs. crores)</t>
  </si>
  <si>
    <t>Capital cost Including IDC, FC, FERC &amp; Hedging Cost (Rs. crores)</t>
  </si>
  <si>
    <t>% of GFA</t>
  </si>
  <si>
    <t xml:space="preserve">Normative R&amp;M expenses </t>
  </si>
  <si>
    <t xml:space="preserve">*Note:- Information to be provided for Previous Year, Current Year &amp; Ensuing Control Period </t>
  </si>
  <si>
    <t>NIL</t>
  </si>
  <si>
    <t xml:space="preserve">Regulatory Refernce: </t>
  </si>
  <si>
    <t>ARR linkage:</t>
  </si>
  <si>
    <t>Requirement:</t>
  </si>
  <si>
    <t>Truing Up linkage:</t>
  </si>
  <si>
    <t>Direct linkage to ARR</t>
  </si>
  <si>
    <t>Additional Information to be used at the time of truing up &amp; prudence check of Capital cost estimate.</t>
  </si>
  <si>
    <t>Yes</t>
  </si>
  <si>
    <t>Short Term Open Access Consumers</t>
  </si>
  <si>
    <t>16.5.2</t>
  </si>
  <si>
    <t>75% of Charges recovered from  Short Term open access customers shall be deducted while computing ARR.</t>
  </si>
  <si>
    <t>Provided in :</t>
  </si>
  <si>
    <t>UPERC  &amp; DERC Regulations</t>
  </si>
  <si>
    <t>YES</t>
  </si>
  <si>
    <t>Not provided in any Regulations</t>
  </si>
  <si>
    <t xml:space="preserve">Regulatory Reference: </t>
  </si>
  <si>
    <t>Capital Cost</t>
  </si>
  <si>
    <t>Percentage point as per the norm (%)</t>
  </si>
  <si>
    <t>Repair &amp; Maintenance Expenses</t>
  </si>
  <si>
    <t>WPI Inflation</t>
  </si>
  <si>
    <t>Administration and General Expenses</t>
  </si>
  <si>
    <t>Insurance</t>
  </si>
  <si>
    <t>CPI Inflation</t>
  </si>
  <si>
    <t>UPERC 2006, JERC   Regulations</t>
  </si>
  <si>
    <t>CERC, DERC   Regulations</t>
  </si>
  <si>
    <t>Additional information for the purpose of determining capital cost.</t>
  </si>
  <si>
    <t>Supplementary information.Amt to be reconcliled with AFS. It shall be the starting point to assess sources of loans,o and quantum</t>
  </si>
  <si>
    <t>Increase /Decrease due to FERV</t>
  </si>
  <si>
    <t>CERC, DERC Regulations</t>
  </si>
  <si>
    <t>UPERC,  DERC Regulations</t>
  </si>
  <si>
    <t>Form a basis for computation of Normative expenses to be claimed in ARR viz. Employee expenses, A &amp; G expenses.</t>
  </si>
  <si>
    <t>CERC, JERC,UPERC, DERC  Regulations</t>
  </si>
  <si>
    <t>For computation of ARR.</t>
  </si>
  <si>
    <t>Base Rate of Reserve Bank  as on ________________</t>
  </si>
  <si>
    <t>Relevant at the time of truing up</t>
  </si>
  <si>
    <t>220 KV</t>
  </si>
  <si>
    <t>Add:Repayment Made till Date</t>
  </si>
  <si>
    <t xml:space="preserve">Gross Actual Loan </t>
  </si>
  <si>
    <t>Add:Equity considered as normative loan</t>
  </si>
  <si>
    <t xml:space="preserve">Gross Normative Loan </t>
  </si>
  <si>
    <t>Less : Depreciation Recovered as per ARR till Date</t>
  </si>
  <si>
    <t>Net Normative Loan</t>
  </si>
  <si>
    <t>Dometic</t>
  </si>
  <si>
    <t>Total Captal cost</t>
  </si>
  <si>
    <t>NEW</t>
  </si>
  <si>
    <t>Sub Total (A)</t>
  </si>
  <si>
    <t>Total (A+B)</t>
  </si>
  <si>
    <t>Less</t>
  </si>
  <si>
    <t>Tariff at Current Rates</t>
  </si>
  <si>
    <t>Impact of Tariff Revision</t>
  </si>
  <si>
    <t>F30</t>
  </si>
  <si>
    <t>F31</t>
  </si>
  <si>
    <t>F33</t>
  </si>
  <si>
    <t>F35</t>
  </si>
  <si>
    <t>F39</t>
  </si>
  <si>
    <t>F36</t>
  </si>
  <si>
    <t>F43</t>
  </si>
  <si>
    <t>F42</t>
  </si>
  <si>
    <t>F46</t>
  </si>
  <si>
    <t>F44</t>
  </si>
  <si>
    <t>F45</t>
  </si>
  <si>
    <t>F41</t>
  </si>
  <si>
    <t>F40</t>
  </si>
  <si>
    <t>F40A</t>
  </si>
  <si>
    <t>F4B</t>
  </si>
  <si>
    <t>Projection of expected revenue at current tariif rates</t>
  </si>
  <si>
    <t>Projection of expected revenue at projected tariif rates</t>
  </si>
  <si>
    <t>Details of  Loans</t>
  </si>
  <si>
    <t>F32</t>
  </si>
  <si>
    <t>F34</t>
  </si>
  <si>
    <t>Short Term Open access consumers</t>
  </si>
  <si>
    <t>F47</t>
  </si>
  <si>
    <t>F48</t>
  </si>
  <si>
    <t>Signature of Petitioner</t>
  </si>
  <si>
    <t>Provides a tie up of capital cost with Gross Block.</t>
  </si>
  <si>
    <t>Yes through Form F33</t>
  </si>
  <si>
    <t>Required for computing Depreciation which Shall form part of ARR.</t>
  </si>
  <si>
    <t>Net Actual Loan as per Books of Accounts as on :</t>
  </si>
  <si>
    <t>NOT PROVIDED</t>
  </si>
  <si>
    <t>YES Through Form F27</t>
  </si>
  <si>
    <t>Required to calculate CPI Inflation.</t>
  </si>
  <si>
    <t>Form No: F2</t>
  </si>
  <si>
    <t>Form No: F4</t>
  </si>
  <si>
    <t>AC System</t>
  </si>
  <si>
    <t xml:space="preserve">HVDC bi-pole links </t>
  </si>
  <si>
    <t xml:space="preserve">HVDC back-to-back Stations </t>
  </si>
  <si>
    <t>Total Capital Cost admitted</t>
  </si>
  <si>
    <t xml:space="preserve">Note </t>
  </si>
  <si>
    <t>Annual Average CPI Index</t>
  </si>
  <si>
    <t>Additions</t>
  </si>
  <si>
    <t>Annual Average WPI Index</t>
  </si>
  <si>
    <t>Number of Short Term Open Access Customers</t>
  </si>
  <si>
    <t>Allocation statement of Expenses of SLDC</t>
  </si>
  <si>
    <t>Total Expenditure</t>
  </si>
  <si>
    <t>Allocated %</t>
  </si>
  <si>
    <t>SLDC Share</t>
  </si>
  <si>
    <t>Total Expenses of STU</t>
  </si>
  <si>
    <t>iv</t>
  </si>
  <si>
    <t>v</t>
  </si>
  <si>
    <t>Failure of Transformers</t>
  </si>
  <si>
    <t>No. of failures</t>
  </si>
  <si>
    <t>Transmission Losses (For Transmission Licensee)</t>
  </si>
  <si>
    <t>Transmission loss in system (A1-A2-A3)</t>
  </si>
  <si>
    <t>Transmission loss in system (B1-B2-B3)</t>
  </si>
  <si>
    <t xml:space="preserve"> Energy Delivered by Transmission licensee to the distribution Distribution Licensees/ Bulk consumers  at interface points </t>
  </si>
  <si>
    <t>Voltage level</t>
  </si>
  <si>
    <t>Name of Sub-Station</t>
  </si>
  <si>
    <t>Distribution Licensee / Bulk Consumer</t>
  </si>
  <si>
    <t>Details of Electrical Accidents</t>
  </si>
  <si>
    <t>Detail</t>
  </si>
  <si>
    <t>Total Duration of Trippings (hrs.)</t>
  </si>
  <si>
    <t>Total Duration (Hrs.)</t>
  </si>
  <si>
    <t>Estimated unserved energy due to such interruptions</t>
  </si>
  <si>
    <t>Other Transmission disturbamces when  DISCOM supply has got effected</t>
  </si>
  <si>
    <t xml:space="preserve">Major System Disturbances                                                                                                                                                                        </t>
  </si>
  <si>
    <t>Frequency Variation</t>
  </si>
  <si>
    <t>No. of Hours</t>
  </si>
  <si>
    <t>As percentage of total hours in the year (%)</t>
  </si>
  <si>
    <t>49.8 - 49.5 Hz</t>
  </si>
  <si>
    <t xml:space="preserve"> Abstract of Outages due to feeder tripping                                                                 </t>
  </si>
  <si>
    <t>Voltage Fluctuation</t>
  </si>
  <si>
    <t>More than upper limit in %age</t>
  </si>
  <si>
    <t>Between upper &amp; lower limit</t>
  </si>
  <si>
    <t>Less than lower limit in %age</t>
  </si>
  <si>
    <t>%age</t>
  </si>
  <si>
    <t>Time during which voltage in an year</t>
  </si>
  <si>
    <t>Licensee wise Load shedding carried out during the year</t>
  </si>
  <si>
    <t xml:space="preserve">Detailss of Overloaded Feeders </t>
  </si>
  <si>
    <t>Voltage Level</t>
  </si>
  <si>
    <t>No. of feeders</t>
  </si>
  <si>
    <t>Previous Year</t>
  </si>
  <si>
    <t>Current Year</t>
  </si>
  <si>
    <t xml:space="preserve">Details of over loaded Transformers </t>
  </si>
  <si>
    <t>Key Ratios</t>
  </si>
  <si>
    <t>S. No</t>
  </si>
  <si>
    <t>Financial &amp; Material Management</t>
  </si>
  <si>
    <t>Annual capital expenditure/net book value</t>
  </si>
  <si>
    <t xml:space="preserve">Total Transmission  cost/Energy Transmitted </t>
  </si>
  <si>
    <t>Employee cost as a percentage of total cost</t>
  </si>
  <si>
    <t>Operating expenses / Revenue from Transmission of power</t>
  </si>
  <si>
    <t xml:space="preserve">Cost of capital invested </t>
  </si>
  <si>
    <t>Debt Service Coverage Ratio</t>
  </si>
  <si>
    <t>Working Capital to Revenue from Transmission of power</t>
  </si>
  <si>
    <t>HR Management</t>
  </si>
  <si>
    <t>Energy Transmitted (MU) per Employee</t>
  </si>
  <si>
    <t>Connected Load per Employee (MVA)</t>
  </si>
  <si>
    <t>Training participation days per employee</t>
  </si>
  <si>
    <t>Operational Performance</t>
  </si>
  <si>
    <t>Unplanned outage/total outage (Fault breakdown / total outage)</t>
  </si>
  <si>
    <t>Annual replacement rate of Transmission transformers (%): (Transmission Transformers replaced / Transformers in service)</t>
  </si>
  <si>
    <t>Profit &amp; Loss Account</t>
  </si>
  <si>
    <t>Form No: S1</t>
  </si>
  <si>
    <t xml:space="preserve">Revenue/Income </t>
  </si>
  <si>
    <t>Non-tariff income</t>
  </si>
  <si>
    <t>Revenues through subsidies &amp; grants (If any)</t>
  </si>
  <si>
    <t>Any other Income</t>
  </si>
  <si>
    <t>Repair and Maintenance Cost</t>
  </si>
  <si>
    <t>Employee costs</t>
  </si>
  <si>
    <t>Depreciation and Related debits</t>
  </si>
  <si>
    <t>Interest &amp; Finance Charges</t>
  </si>
  <si>
    <t>Less: Interest Capitalized</t>
  </si>
  <si>
    <t>Balance Sheet</t>
  </si>
  <si>
    <t>Form No: S2</t>
  </si>
  <si>
    <t>Form No: S3</t>
  </si>
  <si>
    <t>Summary Formats</t>
  </si>
  <si>
    <t>Sheet</t>
  </si>
  <si>
    <t>S1</t>
  </si>
  <si>
    <t>S2</t>
  </si>
  <si>
    <t>S3</t>
  </si>
  <si>
    <t>Cash flow statement</t>
  </si>
  <si>
    <t>Financial Formats</t>
  </si>
  <si>
    <t>Administrative &amp; General Expenses</t>
  </si>
  <si>
    <t>Performance Formats</t>
  </si>
  <si>
    <t>P1</t>
  </si>
  <si>
    <t>P2</t>
  </si>
  <si>
    <t>P3</t>
  </si>
  <si>
    <t>P4</t>
  </si>
  <si>
    <t>P5</t>
  </si>
  <si>
    <t>P6</t>
  </si>
  <si>
    <t>P7</t>
  </si>
  <si>
    <t>P8</t>
  </si>
  <si>
    <t>P9</t>
  </si>
  <si>
    <t>P10</t>
  </si>
  <si>
    <t>P11</t>
  </si>
  <si>
    <t>Annual Revenue Requirement</t>
  </si>
  <si>
    <t>Employee expenses</t>
  </si>
  <si>
    <t>Allocation Statement of Expenses of SLDC</t>
  </si>
  <si>
    <t>P12</t>
  </si>
  <si>
    <t xml:space="preserve">Sum of Total Alloted Transmission Capacity to all the long term Transmission system customers (SCL) </t>
  </si>
  <si>
    <t>Form No: F6</t>
  </si>
  <si>
    <t>Adjustments For</t>
  </si>
  <si>
    <t>Cash Flow from Investing Activities</t>
  </si>
  <si>
    <t>Net Cash used in Investing Activities</t>
  </si>
  <si>
    <t>Cash Flow from Financing Activities</t>
  </si>
  <si>
    <t>Net Cash generated from Financing Activities</t>
  </si>
  <si>
    <t>Cash &amp; Cash Equivalants  as at beginning of the Financial Year</t>
  </si>
  <si>
    <t>Cash &amp; Cash Equivalants  as at end of the Financial Year</t>
  </si>
  <si>
    <t>Form No: F12</t>
  </si>
  <si>
    <t>Form No: P12</t>
  </si>
  <si>
    <t>Form No: F8</t>
  </si>
  <si>
    <t>North Bihar Power Distribution Company Limited</t>
  </si>
  <si>
    <t>South Bihar Power Distribution Company Limited</t>
  </si>
  <si>
    <t>(Give reference of the BERC relevant Order with Petition No. &amp; Date )</t>
  </si>
  <si>
    <t>SBPDCL</t>
  </si>
  <si>
    <t>Cost of total Stores Inventory/100 Km of transmission lines</t>
  </si>
  <si>
    <t>Statement of Projected Profit and Loss</t>
  </si>
  <si>
    <t>Administration expenses</t>
  </si>
  <si>
    <t xml:space="preserve">Other Expenses </t>
  </si>
  <si>
    <t xml:space="preserve">Non-current assets </t>
  </si>
  <si>
    <t xml:space="preserve">Current assets </t>
  </si>
  <si>
    <t>`-------</t>
  </si>
  <si>
    <t>Assets</t>
  </si>
  <si>
    <t>Total Assets</t>
  </si>
  <si>
    <t xml:space="preserve">EQUITY AND LIABILITIES </t>
  </si>
  <si>
    <t>LIABILITIES</t>
  </si>
  <si>
    <t>Total Equity and Liabilities</t>
  </si>
  <si>
    <t>Projected Balance Sheet</t>
  </si>
  <si>
    <t>Cash flows from operating activities</t>
  </si>
  <si>
    <t>`----------</t>
  </si>
  <si>
    <t>Net Cash flows from operating activities</t>
  </si>
  <si>
    <t>Total Cash generated/(lost)</t>
  </si>
  <si>
    <t>Projected Cash Flow Statement</t>
  </si>
  <si>
    <t>Approved in MYT/RE</t>
  </si>
  <si>
    <t>Less: IDC, if any</t>
  </si>
  <si>
    <t>Contribution towards Contingency Reserve</t>
  </si>
  <si>
    <t xml:space="preserve">Note: </t>
  </si>
  <si>
    <t>Charges to be paid by Long Term Transmission Customers/month</t>
  </si>
  <si>
    <t>Alloted Transmission Capacity and Charges to be paid by Long Term Transmission Customers</t>
  </si>
  <si>
    <t xml:space="preserve">Alloted Transmission Capacity and Charges to be paid by Long Term Transmission Customers </t>
  </si>
  <si>
    <t>`--</t>
  </si>
  <si>
    <t>At Current Tariff Rates</t>
  </si>
  <si>
    <t xml:space="preserve">Revenue </t>
  </si>
  <si>
    <t>Bank Rate as on ___</t>
  </si>
  <si>
    <t>Capital cost admitted as on--------</t>
  </si>
  <si>
    <t>`-Foreign Component</t>
  </si>
  <si>
    <t>`-Domestic Component</t>
  </si>
  <si>
    <t>Foreign Exchange rate considered for the admitted cost</t>
  </si>
  <si>
    <t>Name of scheme / Project</t>
  </si>
  <si>
    <t>Previous year</t>
  </si>
  <si>
    <t>Current year (RE)</t>
  </si>
  <si>
    <t>Capitalization</t>
  </si>
  <si>
    <t>Capital Expenditure(CWIP)</t>
  </si>
  <si>
    <t> Capitalization</t>
  </si>
  <si>
    <t>Revenue at current tariif rates and at proposed tariif rates</t>
  </si>
  <si>
    <t>(Rs. in Cr.)</t>
  </si>
  <si>
    <t>Progressive upto the begining of previous year</t>
  </si>
  <si>
    <t>Approved Outlay</t>
  </si>
  <si>
    <t>Ensuing Years (Projection)</t>
  </si>
  <si>
    <t>Progressive Capital expenditure upto the end of ensuing year (s)</t>
  </si>
  <si>
    <t>Capital Cost for Purposes of ARR*</t>
  </si>
  <si>
    <t>**Must be in agreement with the figures shown in audited account, otherwise a reconciliation statement must be accompanied.</t>
  </si>
  <si>
    <t>*Must be in agreement with the figures shown in Form No: F5 (page-2), otherwise a reconciliation statement must be accompanied.</t>
  </si>
  <si>
    <t>Note</t>
  </si>
  <si>
    <t>2. Details of IDC &amp; Financing Charges are to be furnished as per FORM-   .</t>
  </si>
  <si>
    <t>`-IDC including Financing Charges</t>
  </si>
  <si>
    <t>1.Copy of approval letter should be enclosed. Deviation in capital cost and scope of work if any, must be submitted in detailed.</t>
  </si>
  <si>
    <t>Gross Fixed Assets ( as at begining of the year):</t>
  </si>
  <si>
    <t>Addition/ adjustment to Gross Fixed Assets (During the year):</t>
  </si>
  <si>
    <t>4. Admitted GFA(1+2-3)</t>
  </si>
  <si>
    <t>Amount utilized for Assets forming part of Depreciable GFA</t>
  </si>
  <si>
    <t>Amount utilized for Assets forming part of non-Depreciable GFA</t>
  </si>
  <si>
    <t>Amount remains un-utilized (A-B-C)</t>
  </si>
  <si>
    <t>Amount kept in Bank out of "C" above</t>
  </si>
  <si>
    <t>Amount utilized for CWIP out of "C" above</t>
  </si>
  <si>
    <t xml:space="preserve"> Total (1+2)</t>
  </si>
  <si>
    <t xml:space="preserve"> Total (3+4)</t>
  </si>
  <si>
    <t xml:space="preserve"> Total (5+6)</t>
  </si>
  <si>
    <t xml:space="preserve"> Total (7+8)</t>
  </si>
  <si>
    <t>Depreciation. on assets created out of grants (Financial/Statutory Account)</t>
  </si>
  <si>
    <t>Depreciation on assets created out of grants (Admitted)</t>
  </si>
  <si>
    <t>Summassion of D&amp;E must be equal to C, otherwise a reconciliation statement must be accompained.</t>
  </si>
  <si>
    <t>Actual*</t>
  </si>
  <si>
    <t>* Please furnish seperately details regarding approval of Capital Investment under BERC (Procedure for Filing Capital Investment and Capitalization Plan) Regulations, 2018 and indiacte the portion which is not approved under BERC (Procedure for Filing Capital Investment and Capitalization Plan) Regulations, 2018.</t>
  </si>
  <si>
    <t>Less : Capital Expenditure(CWIP)</t>
  </si>
  <si>
    <t>((Scheduled DOC elementwise))</t>
  </si>
  <si>
    <t>Rates, taxes &amp; duties considered</t>
  </si>
  <si>
    <t>Opening Gross Fixed Assets</t>
  </si>
  <si>
    <t>Additions in  Gross Fixed Assets</t>
  </si>
  <si>
    <t>Closing Gross Fixed Assets</t>
  </si>
  <si>
    <t>Opening  Capital Expenditure(CWIP)</t>
  </si>
  <si>
    <t>Closing Capital Expenditure(CWIP)</t>
  </si>
  <si>
    <t>Infusion</t>
  </si>
  <si>
    <t>Details of Equity</t>
  </si>
  <si>
    <t>Details of Indian Equity</t>
  </si>
  <si>
    <t>`-</t>
  </si>
  <si>
    <t>User contributions and grants towards cost of capital assets</t>
  </si>
  <si>
    <t>Less : User contributions and Grants</t>
  </si>
  <si>
    <t xml:space="preserve">User contributions Towards Cost Of Capital Assets </t>
  </si>
  <si>
    <t>*Normative/Approved in MYT/RE: If norms are specified by the Commission for concern year, Normative figures shall be given.In case norms are not specified latest approved figures in MYT or Revised Extimate(RE) as the case may be shall be given.</t>
  </si>
  <si>
    <t>User contributions and grants towards cost of capital assets (Rs. Crores)</t>
  </si>
  <si>
    <t>Share of Holding Company Expenses</t>
  </si>
  <si>
    <t>Total O&amp;M expenses ( i+ii+iii+iv)</t>
  </si>
  <si>
    <t>iv.</t>
  </si>
  <si>
    <t>Interest and finance charges on Loan Capital</t>
  </si>
  <si>
    <t>Revenue from  Short Term transmission charges</t>
  </si>
  <si>
    <t>S.N</t>
  </si>
  <si>
    <t>Loan</t>
  </si>
  <si>
    <t>Grant</t>
  </si>
  <si>
    <t>Opening CWIP</t>
  </si>
  <si>
    <t>New Investment</t>
  </si>
  <si>
    <t>Less Capitalization(a+b)</t>
  </si>
  <si>
    <t>a) CWIP Capitalization</t>
  </si>
  <si>
    <t>Closing CWIP (1+2-3)</t>
  </si>
  <si>
    <t>Effective Rate of Return on Equity</t>
  </si>
  <si>
    <t>*Note:- Loanwise information to be provided for Previous Year, Current Year &amp;Control period. Also indicate rate of interest and other conditions.</t>
  </si>
  <si>
    <t>Form No: F13</t>
  </si>
  <si>
    <t>(i)</t>
  </si>
  <si>
    <t>Existing Employees</t>
  </si>
  <si>
    <t>(ii)</t>
  </si>
  <si>
    <t>New Employees</t>
  </si>
  <si>
    <t>Contribution to Terminal Benefits (Accrual Basis)</t>
  </si>
  <si>
    <t>Total of Salary &amp; Allowances and Terminal Benefits</t>
  </si>
  <si>
    <t>Amount Capitalised</t>
  </si>
  <si>
    <t>Net Amount</t>
  </si>
  <si>
    <t xml:space="preserve">(i) </t>
  </si>
  <si>
    <t>Terminal benefits paid for the period before the date of reorganisation i.e. 01.11.2012, shall not be considered.</t>
  </si>
  <si>
    <t>In respect of continuing employees as on the date of reorganisation and newly appointed employees after re-organisation date the terminal benefits shall be allowed.</t>
  </si>
  <si>
    <t>(iii)</t>
  </si>
  <si>
    <t>In respect of item 6, a brief description to be appended.</t>
  </si>
  <si>
    <t xml:space="preserve">CPI and WPI Inflation computed for current year shall be considered for control period at the time of filing of ARR.CPI inflation shall be determined at the time of truing up. </t>
  </si>
  <si>
    <t>(Actuals)</t>
  </si>
  <si>
    <t>Current</t>
  </si>
  <si>
    <t>Number of Sub-stations</t>
  </si>
  <si>
    <t>Plant &amp; Machinery</t>
  </si>
  <si>
    <t>Hydraulic works &amp; civil works</t>
  </si>
  <si>
    <t>Line cable &amp; network</t>
  </si>
  <si>
    <t>Vehicles</t>
  </si>
  <si>
    <t>Furniture &amp; fixtures</t>
  </si>
  <si>
    <t>Office equipments</t>
  </si>
  <si>
    <t>Total expenses</t>
  </si>
  <si>
    <t>Less capitalized</t>
  </si>
  <si>
    <t>Net Expenses</t>
  </si>
  <si>
    <t>Total expenses charged to revenue</t>
  </si>
  <si>
    <t>* Year-wise details of these charges may be provided with documentary evidence</t>
  </si>
  <si>
    <t>Rent, rates &amp; taxes</t>
  </si>
  <si>
    <t>Telephone, postage &amp; Telegrams</t>
  </si>
  <si>
    <t>Consultancy fees</t>
  </si>
  <si>
    <t>Other professional charges</t>
  </si>
  <si>
    <t>Conveyance &amp; travel expenses</t>
  </si>
  <si>
    <t>Electricity &amp; Water charges</t>
  </si>
  <si>
    <t xml:space="preserve">Freight </t>
  </si>
  <si>
    <t>Less Capitalised</t>
  </si>
  <si>
    <t>Net expenses</t>
  </si>
  <si>
    <t>* Year-wise details of these charges may be provided with documentary evidence.</t>
  </si>
  <si>
    <t>Further details of component wise R&amp;M Expenses</t>
  </si>
  <si>
    <t>Originally proposed</t>
  </si>
  <si>
    <t xml:space="preserve">Note:  i ) Information for previous year to be given in columns 1 to 7 co-relating the information given in current or earlier MYT/Business Plan (if any).
           </t>
  </si>
  <si>
    <t>ii) Information for the current year to be given in columns 1 to 5 co-relating the information given in MYT/Business Plan (if any)</t>
  </si>
  <si>
    <t>iii) Amount of grants and loans shall be furnished separately funding Agencywise and yearwise.</t>
  </si>
  <si>
    <t>Approved by the Commission</t>
  </si>
  <si>
    <t xml:space="preserve">Revised </t>
  </si>
  <si>
    <t>Actual expenditure</t>
  </si>
  <si>
    <t>Revised approval by the Commission in review</t>
  </si>
  <si>
    <t>Normative O&amp;M per ckt.km, if any</t>
  </si>
  <si>
    <t>Normative O&amp;M per bay, if any</t>
  </si>
  <si>
    <t>Normative A&amp;G expenses per ckt.km, if any</t>
  </si>
  <si>
    <t>Normative A&amp;G per bay, if any</t>
  </si>
  <si>
    <t>Maintenance Spares for Working Capital, if any</t>
  </si>
  <si>
    <t>Provide details for True-up period, Current Year and each of ensuing years seperately.</t>
  </si>
  <si>
    <t>Name of Currency</t>
  </si>
  <si>
    <t>Loan drawal</t>
  </si>
  <si>
    <t>Further Details in case of Foreign Loans</t>
  </si>
  <si>
    <t>Actual Principal Repayment</t>
  </si>
  <si>
    <t>Actual Interest payment</t>
  </si>
  <si>
    <t>Purpose of loan</t>
  </si>
  <si>
    <t>Amount in Rs. Crore</t>
  </si>
  <si>
    <t>*The amount of penal interest, if any, to be shown separately.</t>
  </si>
  <si>
    <t>Note:Information to be supplied separately for the previous year (actuals), current year(RE)
and ensuing years</t>
  </si>
  <si>
    <t>Source of loan</t>
  </si>
  <si>
    <t>Amount of original loan</t>
  </si>
  <si>
    <t>Old rate of interest</t>
  </si>
  <si>
    <t>Amount already restructured</t>
  </si>
  <si>
    <t>Revised rate of interest</t>
  </si>
  <si>
    <t>Amount now being restructured</t>
  </si>
  <si>
    <t>New rate of interest</t>
  </si>
  <si>
    <t>Opening balance</t>
  </si>
  <si>
    <t>Rate of Interest</t>
  </si>
  <si>
    <t>Addition during the year</t>
  </si>
  <si>
    <t>Repayment during the year</t>
  </si>
  <si>
    <t>Closing balance</t>
  </si>
  <si>
    <t>Amount of interest paid*</t>
  </si>
  <si>
    <t>SLR Bonds</t>
  </si>
  <si>
    <t>Non SLR Bonds</t>
  </si>
  <si>
    <t>Commercial Banks</t>
  </si>
  <si>
    <t>Bills discounting</t>
  </si>
  <si>
    <t>Lease rental</t>
  </si>
  <si>
    <t>Total (10 +11)</t>
  </si>
  <si>
    <t>Net Interest</t>
  </si>
  <si>
    <t>Add prior period adjustment *</t>
  </si>
  <si>
    <t>Total Interest</t>
  </si>
  <si>
    <t>Finance charges</t>
  </si>
  <si>
    <t>S.N.</t>
  </si>
  <si>
    <t xml:space="preserve">Total Interest and 
finance charges
</t>
  </si>
  <si>
    <t>Less IDC</t>
  </si>
  <si>
    <t xml:space="preserve">Total Draw down Amount </t>
  </si>
  <si>
    <t>Total IDC</t>
  </si>
  <si>
    <t>Total Financing charges</t>
  </si>
  <si>
    <t>Note: Drawal of debt and equity shall be on paripassu basis to meet the commissioning schedule.  Drawal of higher equity in the beginning is permissible. Also specify basis of allocation to particular project.</t>
  </si>
  <si>
    <t>Interest (IDC) Capitalized</t>
  </si>
  <si>
    <t>Name of scheme /Project</t>
  </si>
  <si>
    <t>Interest capitalized</t>
  </si>
  <si>
    <t>As on beginning of previous year</t>
  </si>
  <si>
    <t>During Current year (RE)</t>
  </si>
  <si>
    <t>During ensuing year (s)</t>
  </si>
  <si>
    <t>During Previous year (Actuals)</t>
  </si>
  <si>
    <t>Name of Lesser</t>
  </si>
  <si>
    <t>Leased</t>
  </si>
  <si>
    <t>on</t>
  </si>
  <si>
    <t>Lease Rentals</t>
  </si>
  <si>
    <t>Primary Period</t>
  </si>
  <si>
    <t>ended / ending by</t>
  </si>
  <si>
    <t>Secondary</t>
  </si>
  <si>
    <t>period ending by</t>
  </si>
  <si>
    <t>Descriptions</t>
  </si>
  <si>
    <t>Gross Amount</t>
  </si>
  <si>
    <t>Lease details(Rs. Crores)</t>
  </si>
  <si>
    <t>Note: Statement showing Cost benefits analysis of lease must be accompanied.</t>
  </si>
  <si>
    <t>Form No: F15</t>
  </si>
  <si>
    <t>Form No: F16</t>
  </si>
  <si>
    <t>Ensuing Years</t>
  </si>
  <si>
    <t>Particulars(i.e Assets Group)</t>
  </si>
  <si>
    <t>GFA at the beginning of the year</t>
  </si>
  <si>
    <t>Addition to GFA during the year</t>
  </si>
  <si>
    <t>Adjustment to GFA on account of assets sold/discarded etc</t>
  </si>
  <si>
    <t>GFA at the end of the year</t>
  </si>
  <si>
    <t>Consumer Contribution</t>
  </si>
  <si>
    <t>By grants</t>
  </si>
  <si>
    <t>Land and land rights</t>
  </si>
  <si>
    <t>Buildings</t>
  </si>
  <si>
    <t>Hydraulic works</t>
  </si>
  <si>
    <t>Other civil works</t>
  </si>
  <si>
    <t>Plant and Machinery</t>
  </si>
  <si>
    <t>Lines and cable network</t>
  </si>
  <si>
    <t>Furniture and Fixtures</t>
  </si>
  <si>
    <t>Office equipment</t>
  </si>
  <si>
    <t>Adjustment for assets sold/discarded etc</t>
  </si>
  <si>
    <t>d</t>
  </si>
  <si>
    <t>Add/(Less):Adjustment for assets sold/discarded etc</t>
  </si>
  <si>
    <t>Gross fixed assets of the beginning of the year</t>
  </si>
  <si>
    <t>Additions during the year</t>
  </si>
  <si>
    <t>Closing GFA</t>
  </si>
  <si>
    <t>Depreciation for GFA on Grants</t>
  </si>
  <si>
    <t>IDC, FC, FERV &amp; Hedging cost</t>
  </si>
  <si>
    <t>Amount of IEDC</t>
  </si>
  <si>
    <t>3(i)</t>
  </si>
  <si>
    <t>3(ii)</t>
  </si>
  <si>
    <t>Less: Value of non depreciable assets (i.e land)</t>
  </si>
  <si>
    <t>Average GFA (Excluding Value of non depreciable assets)</t>
  </si>
  <si>
    <t>Opening grants*</t>
  </si>
  <si>
    <t>Grants* during the year</t>
  </si>
  <si>
    <t>Total Grants*</t>
  </si>
  <si>
    <t>Average Grants*</t>
  </si>
  <si>
    <t>Accumulated</t>
  </si>
  <si>
    <t>depreciation at the beginning of the year</t>
  </si>
  <si>
    <t>depreciation adjustment on account of assets sold/discarded etc</t>
  </si>
  <si>
    <t>depreciation at the end of the year</t>
  </si>
  <si>
    <t>Details of Transmission Lines and Substations including Investment plan</t>
  </si>
  <si>
    <t>Details of Loans</t>
  </si>
  <si>
    <t>Interest, IDC &amp; Financing Charges</t>
  </si>
  <si>
    <t>Details of Lease</t>
  </si>
  <si>
    <t>Gross Fixed Assets(GFA) and Depreciation</t>
  </si>
  <si>
    <t>Less asset created from grant</t>
  </si>
  <si>
    <t>Less asset created from users contribution</t>
  </si>
  <si>
    <t>Amount of total asset created during the year</t>
  </si>
  <si>
    <t>Net asset Created</t>
  </si>
  <si>
    <t>Details of Return on equity</t>
  </si>
  <si>
    <t>Retained by Licensee</t>
  </si>
  <si>
    <t>Payable to Beneficiaries</t>
  </si>
  <si>
    <t>Form No: F17</t>
  </si>
  <si>
    <t>Delayed Payment surcharge</t>
  </si>
  <si>
    <t>Interest on loans and Advances to Staff</t>
  </si>
  <si>
    <t>Others, please specify</t>
  </si>
  <si>
    <t>Form No: F18</t>
  </si>
  <si>
    <t>Working Capital Interest</t>
  </si>
  <si>
    <t>Receivables equivalent to two (2) month of transmission charges     calculated on target availability level</t>
  </si>
  <si>
    <t>O&amp;M Expenses of one month</t>
  </si>
  <si>
    <t>Total Working Capital</t>
  </si>
  <si>
    <t xml:space="preserve">Interest Rate </t>
  </si>
  <si>
    <t xml:space="preserve">Interest on Working Capital </t>
  </si>
  <si>
    <t>Form No: F19</t>
  </si>
  <si>
    <t>Form No: F20</t>
  </si>
  <si>
    <t>Form No: F21</t>
  </si>
  <si>
    <t>Extraordinary Items(Rs. Crores)</t>
  </si>
  <si>
    <t xml:space="preserve"> a </t>
  </si>
  <si>
    <t xml:space="preserve">                               -   </t>
  </si>
  <si>
    <t>Form No: F22</t>
  </si>
  <si>
    <t>Net Prior Period Expenses/Income &amp; Extraordinary Items</t>
  </si>
  <si>
    <t>Details of Income from Other Business (Rs. In Crore)</t>
  </si>
  <si>
    <t>Receipts from other Business</t>
  </si>
  <si>
    <t>Less: Expenses from other business</t>
  </si>
  <si>
    <t xml:space="preserve">Revenue of other Business </t>
  </si>
  <si>
    <t>R=I-E</t>
  </si>
  <si>
    <t>II</t>
  </si>
  <si>
    <t xml:space="preserve">Assets of Licensed business utilized in other business </t>
  </si>
  <si>
    <t xml:space="preserve">Total assets of other business (including the assets utilized of the Licensed Business) </t>
  </si>
  <si>
    <t xml:space="preserve">Allocation of Revenue to Licensed Business decided by the Commission </t>
  </si>
  <si>
    <t>X</t>
  </si>
  <si>
    <t>III</t>
  </si>
  <si>
    <t>X*(R*A/C)</t>
  </si>
  <si>
    <t xml:space="preserve">Note:- Information to be provided for Previous Year, Current Year &amp; each year of Control period </t>
  </si>
  <si>
    <t>*In case Gross Receipts exceed expenditure of other business in (I) above (where Gross receipt is less than expenditure of other business in (I) above no amount shall be deducted from ARR of Licensee).</t>
  </si>
  <si>
    <t>Due to Licensed Business (to be deducted from ARR)*</t>
  </si>
  <si>
    <t>Form No: F23</t>
  </si>
  <si>
    <t>Profit/Loss (A-G)</t>
  </si>
  <si>
    <t>Total Revenue*</t>
  </si>
  <si>
    <t>TOTAL EXPENDITURE (B+C+D)*</t>
  </si>
  <si>
    <t>* Pertaining to Transmission Business Only, SLDC shall file seperately</t>
  </si>
  <si>
    <t xml:space="preserve">Net (loss) / Profit </t>
  </si>
  <si>
    <t>Form No: F24</t>
  </si>
  <si>
    <t xml:space="preserve">Fixed Assets </t>
  </si>
  <si>
    <t>%age appropriation to the contingency reserve</t>
  </si>
  <si>
    <t>Appropriation to the contingency amount</t>
  </si>
  <si>
    <t>Amount invested in securities</t>
  </si>
  <si>
    <t>Drawal from the contingency reserve (Please specify)</t>
  </si>
  <si>
    <t xml:space="preserve">(iii) </t>
  </si>
  <si>
    <t>Total drawal</t>
  </si>
  <si>
    <t>Contribution to Contingency Reserve(Rs. Crores)</t>
  </si>
  <si>
    <t>Information Regarding Grant/Subsidy from State Govt/Central Govt.</t>
  </si>
  <si>
    <t xml:space="preserve"> Amount from State Govt. </t>
  </si>
  <si>
    <t>i) Purpose for which grant received</t>
  </si>
  <si>
    <t>(a)</t>
  </si>
  <si>
    <t>(b)</t>
  </si>
  <si>
    <t>ii) Targeted categories for subsidy</t>
  </si>
  <si>
    <t xml:space="preserve"> Amount from Central Govt. </t>
  </si>
  <si>
    <t>Contribution to Contingency Reserve, details of grant</t>
  </si>
  <si>
    <t>Base rate of Return on Equity%</t>
  </si>
  <si>
    <t>Tax Rate ( Enclose detailed calculation alongwith supporting documents)%</t>
  </si>
  <si>
    <t>Additional Return</t>
  </si>
  <si>
    <t>Total Return on Equity</t>
  </si>
  <si>
    <t>Form No: F5</t>
  </si>
  <si>
    <t>Form No:F5</t>
  </si>
  <si>
    <t>Form No: F7</t>
  </si>
  <si>
    <t>Form No: 7</t>
  </si>
  <si>
    <t xml:space="preserve">       Form No: F7</t>
  </si>
  <si>
    <t>Form No: F9</t>
  </si>
  <si>
    <t xml:space="preserve">Annual Revenue Requirement </t>
  </si>
  <si>
    <t xml:space="preserve"> The ARR of SLDC shall be filed separately by SLDC. Expenses will be net of Expenditure capitalized.</t>
  </si>
  <si>
    <t>(a) Details of Transmission Lines and Substations</t>
  </si>
  <si>
    <t>Name of line/ Sub-station etc</t>
  </si>
  <si>
    <t> Approved in MYT/RE</t>
  </si>
  <si>
    <t>Ø  The amount of grants and loans shall be furnished separately scheme wise and funding agency wise.</t>
  </si>
  <si>
    <t>Ø  Additional column may  be inserted(if required) for Ensuing Years (Projection).</t>
  </si>
  <si>
    <t>Ø  All Information for previous year, current year (RE), Ensuing year must be in line with information approved in MYT/Business Plan (if any), other-wise a statement showing complete details of variation must be accompanied.</t>
  </si>
  <si>
    <t>Ø  CWIP shall mean Capital Work in Progress</t>
  </si>
  <si>
    <t>Capital Expenditure
(CWIP)</t>
  </si>
  <si>
    <t> Capital Expenditure
(CWIP)</t>
  </si>
  <si>
    <t>Capital 
Expenditure
(CWIP)</t>
  </si>
  <si>
    <t>Capital
 Expenditure
(CWIP)</t>
  </si>
  <si>
    <t>(d) Investment Plan (Scheme-wise)</t>
  </si>
  <si>
    <t>(e) Investment Plan (Year-wise)</t>
  </si>
  <si>
    <t>(f) Abstract of Capital Cost  for the existing Project, Capital Cost Estimates and Schedule of Commissioning for the New projects</t>
  </si>
  <si>
    <t>(g) Financial Package of Capital cost Admitted</t>
  </si>
  <si>
    <t>As on Scheduled COD of the Station</t>
  </si>
  <si>
    <t>3. Details of IDC &amp; Financing Charges are to be  
    furnished as per Form 20</t>
  </si>
  <si>
    <t>2. Details of Capital cost are to be furnished as per 
    Form F5-5 or Form 14(Additional Capitalization) as  
     applicable.</t>
  </si>
  <si>
    <r>
      <t>Admitted Cost</t>
    </r>
    <r>
      <rPr>
        <b/>
        <vertAlign val="superscript"/>
        <sz val="11"/>
        <rFont val="Bookman Old Style"/>
        <family val="1"/>
      </rPr>
      <t>1</t>
    </r>
  </si>
  <si>
    <t>(k) Statement of Additional Capitalization</t>
  </si>
  <si>
    <t>1  Fill the form in chronological order year wise along with detailed justification clearly bring out the 
    necessity and the benefits accruing to the benficiaries.</t>
  </si>
  <si>
    <t xml:space="preserve">2  In case initial spares are purchased alongwith any equipment, then the cost of such spares should
    be indicated separately. </t>
  </si>
  <si>
    <t>(l) Statement of Capital Works in Progress</t>
  </si>
  <si>
    <r>
      <t>(m) Capital Work-In-Progress (CWIP)                                      (</t>
    </r>
    <r>
      <rPr>
        <sz val="11"/>
        <color theme="1"/>
        <rFont val="Bookman Old Style"/>
        <family val="1"/>
      </rPr>
      <t>(</t>
    </r>
    <r>
      <rPr>
        <b/>
        <sz val="11"/>
        <color theme="1"/>
        <rFont val="Bookman Old Style"/>
        <family val="1"/>
      </rPr>
      <t>Rs. Crores</t>
    </r>
    <r>
      <rPr>
        <sz val="11"/>
        <color theme="1"/>
        <rFont val="Bookman Old Style"/>
        <family val="1"/>
      </rPr>
      <t>))</t>
    </r>
  </si>
  <si>
    <t>1.GFA as per (Financial/Statutory Account)</t>
  </si>
  <si>
    <t>2.Expenditure allowed but not capitalized in Financial/Statutory Account</t>
  </si>
  <si>
    <t>3.Expenditure Capitalized in Financial/Statutory Account but not allowed.</t>
  </si>
  <si>
    <t>5.Expenditure capitalized in Financial/Statutory Account</t>
  </si>
  <si>
    <t>6.Expenditure allowed but not capitalized in Financial/Statutory Account</t>
  </si>
  <si>
    <t>7.Expenditure Capitalized in Financial/Statutory Account but not allowed.</t>
  </si>
  <si>
    <t>(a) Reconciliation of Gross Fixed Assets(GFA) admitted with Gross Fixed Assets(GFA) of Financial Account</t>
  </si>
  <si>
    <t>(b) Gross Fixed Assets (GFA) (Information to be supplied for the previous year (actuals), current year (RE) and the ensuring year (s) (projections)        (Rs. in Cr.)</t>
  </si>
  <si>
    <t xml:space="preserve">(d) Statement of Assets Not in Use </t>
  </si>
  <si>
    <t>(a) Details of Loans for the year</t>
  </si>
  <si>
    <t>(b) Further Details in case of Foreign Loans</t>
  </si>
  <si>
    <t>(c) Information Regarding Restructuring of Outstanding Loans During the Year</t>
  </si>
  <si>
    <t>(d) Domestic loans, bonds and financial leasing</t>
  </si>
  <si>
    <t>(e) Statement of Reconciliation of Net Actual Loan ( opening ) with Net Normative Loan ( Opening )   (Rs. In Crore)</t>
  </si>
  <si>
    <r>
      <t>Currency1</t>
    </r>
    <r>
      <rPr>
        <b/>
        <vertAlign val="superscript"/>
        <sz val="11"/>
        <rFont val="Bookman Old Style"/>
        <family val="1"/>
      </rPr>
      <t>1</t>
    </r>
  </si>
  <si>
    <r>
      <rPr>
        <vertAlign val="superscript"/>
        <sz val="11"/>
        <rFont val="Bookman Old Style"/>
        <family val="1"/>
      </rPr>
      <t>1</t>
    </r>
    <r>
      <rPr>
        <sz val="11"/>
        <color theme="1"/>
        <rFont val="Bookman Old Style"/>
        <family val="1"/>
      </rPr>
      <t xml:space="preserve"> Name of the currency to be mentioned e.g. US $, etc.</t>
    </r>
  </si>
  <si>
    <r>
      <rPr>
        <vertAlign val="superscript"/>
        <sz val="11"/>
        <rFont val="Bookman Old Style"/>
        <family val="1"/>
      </rPr>
      <t>2</t>
    </r>
    <r>
      <rPr>
        <sz val="11"/>
        <color theme="1"/>
        <rFont val="Bookman Old Style"/>
        <family val="1"/>
      </rPr>
      <t xml:space="preserve"> In case of equity infusion more than once during the year, Exchange rate at the date of each infusion to be provided</t>
    </r>
  </si>
  <si>
    <t>* Year-wise details should be submitted with documentary evidence. Further Rate of interest of
   various loans to be indicated in a separate sheet.</t>
  </si>
  <si>
    <t>(a) Employee Expenses</t>
  </si>
  <si>
    <t>Form No: F14</t>
  </si>
  <si>
    <t>Interest and Finance Charges(Rs. Crores)</t>
  </si>
  <si>
    <t>Form No:F14</t>
  </si>
  <si>
    <t>(c) Employee Strength</t>
  </si>
  <si>
    <t>Civil</t>
  </si>
  <si>
    <t>Holding Expenses</t>
  </si>
  <si>
    <t>ADB Loan</t>
  </si>
  <si>
    <t>Capital Investment</t>
  </si>
  <si>
    <t>ADB</t>
  </si>
  <si>
    <t>State Govt</t>
  </si>
  <si>
    <t>(b) Details of Loans for the year</t>
  </si>
  <si>
    <t>Bank Loan</t>
  </si>
  <si>
    <t>2020-21</t>
  </si>
  <si>
    <t>(c) Details of Loans for the year</t>
  </si>
  <si>
    <t>(d) Details of Loans for the year</t>
  </si>
  <si>
    <t>2021-22</t>
  </si>
  <si>
    <t>Interest Income</t>
  </si>
  <si>
    <t>i) Received under PSDF Scheme</t>
  </si>
  <si>
    <t xml:space="preserve"> Amount from Consumer</t>
  </si>
  <si>
    <t>i) Received under Deposit work</t>
  </si>
  <si>
    <t>Miscellaneous Receipts</t>
  </si>
  <si>
    <t>Application fee Received</t>
  </si>
  <si>
    <t>Terminal Benefits from GoB</t>
  </si>
  <si>
    <t>Not Applicable</t>
  </si>
  <si>
    <t>Construction of New GSS, BAY &amp; Line</t>
  </si>
  <si>
    <t>Add: State Govt. Loan</t>
  </si>
  <si>
    <t>BSPHCL - ADB</t>
  </si>
  <si>
    <r>
      <rPr>
        <b/>
        <sz val="12"/>
        <rFont val="Times New Roman"/>
        <family val="1"/>
      </rPr>
      <t xml:space="preserve">Sr.
</t>
    </r>
    <r>
      <rPr>
        <b/>
        <sz val="12"/>
        <rFont val="Times New Roman"/>
        <family val="1"/>
      </rPr>
      <t>No.</t>
    </r>
  </si>
  <si>
    <r>
      <rPr>
        <b/>
        <sz val="12"/>
        <rFont val="Times New Roman"/>
        <family val="1"/>
      </rPr>
      <t>Particulars</t>
    </r>
  </si>
  <si>
    <r>
      <rPr>
        <b/>
        <sz val="12"/>
        <rFont val="Times New Roman"/>
        <family val="1"/>
      </rPr>
      <t>FY 2018-19</t>
    </r>
  </si>
  <si>
    <r>
      <rPr>
        <b/>
        <sz val="12"/>
        <rFont val="Times New Roman"/>
        <family val="1"/>
      </rPr>
      <t>Projection</t>
    </r>
  </si>
  <si>
    <r>
      <rPr>
        <b/>
        <sz val="12"/>
        <rFont val="Times New Roman"/>
        <family val="1"/>
      </rPr>
      <t xml:space="preserve">MYT
</t>
    </r>
    <r>
      <rPr>
        <b/>
        <sz val="12"/>
        <rFont val="Times New Roman"/>
        <family val="1"/>
      </rPr>
      <t xml:space="preserve">Order Dated
</t>
    </r>
    <r>
      <rPr>
        <b/>
        <sz val="12"/>
        <rFont val="Times New Roman"/>
        <family val="1"/>
      </rPr>
      <t>21.03.2016</t>
    </r>
  </si>
  <si>
    <r>
      <rPr>
        <b/>
        <sz val="12"/>
        <rFont val="Times New Roman"/>
        <family val="1"/>
      </rPr>
      <t xml:space="preserve">Approved by BERC
</t>
    </r>
    <r>
      <rPr>
        <b/>
        <sz val="12"/>
        <rFont val="Times New Roman"/>
        <family val="1"/>
      </rPr>
      <t>Dated 07.03.2018</t>
    </r>
  </si>
  <si>
    <r>
      <rPr>
        <b/>
        <sz val="12"/>
        <rFont val="Times New Roman"/>
        <family val="1"/>
      </rPr>
      <t xml:space="preserve">Projected for Review (RE)
</t>
    </r>
    <r>
      <rPr>
        <b/>
        <sz val="12"/>
        <rFont val="Times New Roman"/>
        <family val="1"/>
      </rPr>
      <t>FY 2018-19</t>
    </r>
  </si>
  <si>
    <r>
      <rPr>
        <b/>
        <sz val="12"/>
        <rFont val="Times New Roman"/>
        <family val="1"/>
      </rPr>
      <t xml:space="preserve">Projected for ARR (FY 2019-
</t>
    </r>
    <r>
      <rPr>
        <b/>
        <sz val="12"/>
        <rFont val="Times New Roman"/>
        <family val="1"/>
      </rPr>
      <t>20)</t>
    </r>
  </si>
  <si>
    <r>
      <rPr>
        <b/>
        <sz val="12"/>
        <rFont val="Times New Roman"/>
        <family val="1"/>
      </rPr>
      <t xml:space="preserve">Projected for ARR (FY 2020-
</t>
    </r>
    <r>
      <rPr>
        <b/>
        <sz val="12"/>
        <rFont val="Times New Roman"/>
        <family val="1"/>
      </rPr>
      <t>21)</t>
    </r>
  </si>
  <si>
    <r>
      <rPr>
        <b/>
        <sz val="12"/>
        <rFont val="Times New Roman"/>
        <family val="1"/>
      </rPr>
      <t xml:space="preserve">Projected for ARR
</t>
    </r>
    <r>
      <rPr>
        <b/>
        <sz val="12"/>
        <rFont val="Times New Roman"/>
        <family val="1"/>
      </rPr>
      <t>(FY 2021-22)</t>
    </r>
  </si>
  <si>
    <r>
      <rPr>
        <sz val="12"/>
        <rFont val="Times New Roman"/>
        <family val="1"/>
      </rPr>
      <t>Opening Loan</t>
    </r>
  </si>
  <si>
    <r>
      <rPr>
        <sz val="12"/>
        <rFont val="Times New Roman"/>
        <family val="1"/>
      </rPr>
      <t xml:space="preserve">Additions during
</t>
    </r>
    <r>
      <rPr>
        <sz val="12"/>
        <rFont val="Times New Roman"/>
        <family val="1"/>
      </rPr>
      <t>year</t>
    </r>
  </si>
  <si>
    <r>
      <rPr>
        <sz val="12"/>
        <rFont val="Times New Roman"/>
        <family val="1"/>
      </rPr>
      <t>Repayment</t>
    </r>
  </si>
  <si>
    <r>
      <rPr>
        <sz val="12"/>
        <rFont val="Times New Roman"/>
        <family val="1"/>
      </rPr>
      <t>Closing Loan(1+2-3)</t>
    </r>
  </si>
  <si>
    <r>
      <rPr>
        <b/>
        <sz val="12"/>
        <rFont val="Times New Roman"/>
        <family val="1"/>
      </rPr>
      <t xml:space="preserve">Average
</t>
    </r>
    <r>
      <rPr>
        <b/>
        <sz val="12"/>
        <rFont val="Times New Roman"/>
        <family val="1"/>
      </rPr>
      <t>Loan(1+4)/2</t>
    </r>
  </si>
  <si>
    <r>
      <rPr>
        <sz val="12"/>
        <rFont val="Times New Roman"/>
        <family val="1"/>
      </rPr>
      <t>Rate of Interest</t>
    </r>
  </si>
  <si>
    <r>
      <rPr>
        <b/>
        <sz val="12"/>
        <rFont val="Times New Roman"/>
        <family val="1"/>
      </rPr>
      <t xml:space="preserve">Interest on
</t>
    </r>
    <r>
      <rPr>
        <b/>
        <sz val="12"/>
        <rFont val="Times New Roman"/>
        <family val="1"/>
      </rPr>
      <t>Loan</t>
    </r>
  </si>
  <si>
    <r>
      <rPr>
        <b/>
        <sz val="12"/>
        <rFont val="Times New Roman"/>
        <family val="1"/>
      </rPr>
      <t>Finance Charges</t>
    </r>
  </si>
  <si>
    <r>
      <rPr>
        <b/>
        <sz val="12"/>
        <rFont val="Times New Roman"/>
        <family val="1"/>
      </rPr>
      <t>--</t>
    </r>
  </si>
  <si>
    <r>
      <rPr>
        <b/>
        <sz val="12"/>
        <rFont val="Times New Roman"/>
        <family val="1"/>
      </rPr>
      <t xml:space="preserve">Interest and Finance
</t>
    </r>
    <r>
      <rPr>
        <b/>
        <sz val="12"/>
        <rFont val="Times New Roman"/>
        <family val="1"/>
      </rPr>
      <t>Charges</t>
    </r>
  </si>
  <si>
    <t>Working for Interest on Loan</t>
  </si>
  <si>
    <t xml:space="preserve">Revenue from operations
a)Revenue from Transmission/Wheeling charges
-NBPDCL
</t>
  </si>
  <si>
    <t xml:space="preserve">State Bank one-year ‘MCLR’as on </t>
  </si>
  <si>
    <t>i.  Transmission Charges</t>
  </si>
  <si>
    <t>Type of Line
AC/HVDC</t>
  </si>
  <si>
    <t>S/C OR
D/C</t>
  </si>
  <si>
    <t>No. Of Sub-
conductors</t>
  </si>
  <si>
    <t>Voltage
level KV</t>
  </si>
  <si>
    <t>Line length
Ckt.-Km.</t>
  </si>
  <si>
    <t>AC</t>
  </si>
  <si>
    <t>132 KV</t>
  </si>
  <si>
    <t>20.10.2017</t>
  </si>
  <si>
    <t>07.06.2018</t>
  </si>
  <si>
    <t>No. Of Bays</t>
  </si>
  <si>
    <t>NA</t>
  </si>
  <si>
    <t>Construction of  2 x20MVA , 132/33KV GSS Tarapur, Teghra and Simri Bakhtiyarpur against NIT 91/2014.</t>
  </si>
  <si>
    <t>Construction of  2 x50MVA , 132/33KV GSS Araria, Barsoi, Baisi and Dhamdaha AGAINST NIT 92/2014.</t>
  </si>
  <si>
    <t>N/A</t>
  </si>
  <si>
    <t>Nil</t>
  </si>
  <si>
    <t>Construction of 04 Nos of 132/33 KV Transformer Bays in Saran, Kosi &amp; Bhagalpur Transmission Circle on turnkey basis under State Plan against NIT No. 121/PR/BSPTCL/2018</t>
  </si>
  <si>
    <t>Construction of 03 Nos of 132/33 KV Transformer Bays in Biharsharif &amp; Dehri-on-sone  Transmission Circle on turnkey basis under State Plan against NIT 122/PR/BSPTCL/2018</t>
  </si>
  <si>
    <t>State Plan</t>
  </si>
  <si>
    <t>26.08.2013</t>
  </si>
  <si>
    <t>18.11.2016</t>
  </si>
  <si>
    <t>31.03.2017</t>
  </si>
  <si>
    <t>30.01.2014</t>
  </si>
  <si>
    <t>31.12.2015</t>
  </si>
  <si>
    <t>10.06.2016</t>
  </si>
  <si>
    <t>31.10.2016</t>
  </si>
  <si>
    <t>29.10.2016</t>
  </si>
  <si>
    <t>21.03.2015</t>
  </si>
  <si>
    <t>28.01.2015</t>
  </si>
  <si>
    <t>02.03.2016</t>
  </si>
  <si>
    <t>12.02.2018</t>
  </si>
  <si>
    <t>22.06.2012</t>
  </si>
  <si>
    <t>30.12.2015</t>
  </si>
  <si>
    <t>18.05.2018</t>
  </si>
  <si>
    <t>27.03.2017</t>
  </si>
  <si>
    <t>09.03.2015</t>
  </si>
  <si>
    <t>04.02.2016</t>
  </si>
  <si>
    <t>05.10.2018</t>
  </si>
  <si>
    <t>30.08.2016</t>
  </si>
  <si>
    <t>20.03.2015</t>
  </si>
  <si>
    <t>15.03.2015</t>
  </si>
  <si>
    <t>03.02.2016</t>
  </si>
  <si>
    <t>10.02.2015</t>
  </si>
  <si>
    <t>11.02.2015</t>
  </si>
  <si>
    <t>12.08.2015</t>
  </si>
  <si>
    <t>05.01.2018</t>
  </si>
  <si>
    <t>11.12.2017</t>
  </si>
  <si>
    <t>10.06.2015</t>
  </si>
  <si>
    <t>01.03.2014</t>
  </si>
  <si>
    <t>31.01.2015</t>
  </si>
  <si>
    <t>03.03.2016</t>
  </si>
  <si>
    <t xml:space="preserve"> 02.03.2016 </t>
  </si>
  <si>
    <t>06.01.2015</t>
  </si>
  <si>
    <t>09.02.2015</t>
  </si>
  <si>
    <t>25.08.2015</t>
  </si>
  <si>
    <t>13.08.2015</t>
  </si>
  <si>
    <t>18.12.2017</t>
  </si>
  <si>
    <t>13.02.2014</t>
  </si>
  <si>
    <t>12.03.2015</t>
  </si>
  <si>
    <t>29.01.2015</t>
  </si>
  <si>
    <t>Firm</t>
  </si>
  <si>
    <t xml:space="preserve">Form No.: P3 </t>
  </si>
  <si>
    <t xml:space="preserve">Type of Accident </t>
  </si>
  <si>
    <t>FATAL</t>
  </si>
  <si>
    <t>NON FATAL</t>
  </si>
  <si>
    <t xml:space="preserve">Human </t>
  </si>
  <si>
    <t>Other, if any (please Specify)</t>
  </si>
  <si>
    <t xml:space="preserve">Total </t>
  </si>
  <si>
    <t>Projection of Sales , Connected Load and Demand</t>
  </si>
  <si>
    <t>Form No:F3</t>
  </si>
  <si>
    <t xml:space="preserve">Particulars </t>
  </si>
  <si>
    <t>Distribution Licenses</t>
  </si>
  <si>
    <t>North Bihar Power Distribution
Company Limited</t>
  </si>
  <si>
    <t>South Bihar Power Distribution
Company Limited</t>
  </si>
  <si>
    <t>Bulk Consumers /Long Term 
Open Access Customers(If any)</t>
  </si>
  <si>
    <t>TOTAL</t>
  </si>
  <si>
    <t>i.</t>
  </si>
  <si>
    <t>ii.</t>
  </si>
  <si>
    <t xml:space="preserve">S.N </t>
  </si>
  <si>
    <t>Ensuring 
Years
(Projection)</t>
  </si>
  <si>
    <t>Number of employees at 
the beginning of FY</t>
  </si>
  <si>
    <t xml:space="preserve">Technical </t>
  </si>
  <si>
    <t>Non Techanical (Administration)</t>
  </si>
  <si>
    <t>(c)</t>
  </si>
  <si>
    <t>Non Techanical(Revrnue,
Finance and Accounts) )</t>
  </si>
  <si>
    <t>No.of employees added during FY</t>
  </si>
  <si>
    <t xml:space="preserve">(a) </t>
  </si>
  <si>
    <t>Number of employees retiring/
leaving during the FY</t>
  </si>
  <si>
    <t>Non Techanical(Revenue,
Finance and Accounts) )</t>
  </si>
  <si>
    <t>Number of employees at the 
end of the FY( 1+2-3)</t>
  </si>
  <si>
    <t>* Pertaining to Transmission Business Only , SLDC shall file separately</t>
  </si>
  <si>
    <t xml:space="preserve">(d) Employees Productivity Parameters </t>
  </si>
  <si>
    <t xml:space="preserve">Year (R.E) </t>
  </si>
  <si>
    <t xml:space="preserve">Number of employees </t>
  </si>
  <si>
    <t>Energy Received at STU-
CTU interface (Units)</t>
  </si>
  <si>
    <t>Employees per MU of
energy handled (5/1)</t>
  </si>
  <si>
    <t>Employees cost (CRORE)</t>
  </si>
  <si>
    <t>Employees cost in paise/
KWH(7/5)</t>
  </si>
  <si>
    <t xml:space="preserve">Abstract of Outages due to feeder tripping </t>
  </si>
  <si>
    <t>Form No.: P4</t>
  </si>
  <si>
    <t xml:space="preserve">s. No. </t>
  </si>
  <si>
    <t xml:space="preserve">Ensuing Years </t>
  </si>
  <si>
    <t>total No. of feeders</t>
  </si>
  <si>
    <t>No. of tripping</t>
  </si>
  <si>
    <t>Average duration of interruption per teeder</t>
  </si>
  <si>
    <t>Feeder Voltage Level (400 KV)</t>
  </si>
  <si>
    <t>Feeder Voltage Level (220 KV)</t>
  </si>
  <si>
    <t>Feeder Voltage Level (132 KV)</t>
  </si>
  <si>
    <t xml:space="preserve">Major System Disturbances </t>
  </si>
  <si>
    <t>SI. No.</t>
  </si>
  <si>
    <t>Distrurbances</t>
  </si>
  <si>
    <t>Number</t>
  </si>
  <si>
    <t>Disturbances when DISCOM supply has been effected for more than 1 hr.</t>
  </si>
  <si>
    <t>Due to 220 KV transformer failure</t>
  </si>
  <si>
    <t>Due to 220 KV transmission line failure</t>
  </si>
  <si>
    <t>Due to 132 KV transformer failure</t>
  </si>
  <si>
    <t>Due to 132 KV transmission line failure</t>
  </si>
  <si>
    <t>Due to 132 KV sub - station equipment (CT, CVT etc.) failure</t>
  </si>
  <si>
    <t>2x160</t>
  </si>
  <si>
    <t>Name of Transmission Licensee :M/s BSPTCL</t>
  </si>
  <si>
    <t>Details</t>
  </si>
  <si>
    <t>Losses in 400KV system</t>
  </si>
  <si>
    <t xml:space="preserve">Total Energy delivered by generating Stations and Inter State / Intra State tie - links at the interface points of the Intra State Transmission system </t>
  </si>
  <si>
    <t>Energy Delivered to  next (Lower) voltage level of the Transmission System</t>
  </si>
  <si>
    <t>Sum of all the energy delivered at this voltag level to the state Distribution System</t>
  </si>
  <si>
    <t>Transmission loss in (Transco) system (%) (A4/A1)x100</t>
  </si>
  <si>
    <t>Losses in 220 KV system</t>
  </si>
  <si>
    <t>Transmission loss in (Transco) system (%) (B4/B1)x100</t>
  </si>
  <si>
    <t xml:space="preserve"> </t>
  </si>
  <si>
    <t>Losses calculation at 132KV</t>
  </si>
  <si>
    <t xml:space="preserve">Previous Year </t>
  </si>
  <si>
    <t>Pertaining to Transmission Business Only, SLDC shall file separately</t>
  </si>
  <si>
    <t>Energy Delivered to next (Lower) voltage level</t>
  </si>
  <si>
    <t>sum of all the energy delivered at this voltage level to the state Distribution System</t>
  </si>
  <si>
    <t>Transmission loss in System (C1-C2-C3)</t>
  </si>
  <si>
    <t>Transmission loss in (Transco) system (%) C4/C1) x 100</t>
  </si>
  <si>
    <t>Total Losses in the Transmission system</t>
  </si>
  <si>
    <t>Transmission loss in System (D1-D2)</t>
  </si>
  <si>
    <t>Transmission loss in (Transco) system (%) (D3/D1) x100</t>
  </si>
  <si>
    <t xml:space="preserve">Signature of Petitioner </t>
  </si>
  <si>
    <t>Energy Delivered by Transmission licensee to the Distribution                                                       Form No.- P2</t>
  </si>
  <si>
    <t>Licensees/ Bulk consumers  at interface points</t>
  </si>
  <si>
    <t>Total Energy Delivered (MUs)</t>
  </si>
  <si>
    <t>NBPDCL (MUs)</t>
  </si>
  <si>
    <t>SBPDCL (MUs)</t>
  </si>
  <si>
    <t xml:space="preserve">North Bihar </t>
  </si>
  <si>
    <t>Railway</t>
  </si>
  <si>
    <t>South Bihar</t>
  </si>
  <si>
    <t>33 KV</t>
  </si>
  <si>
    <t>FY 2019-20</t>
  </si>
  <si>
    <t>FY 2020-21</t>
  </si>
  <si>
    <t>FY 2017-18</t>
  </si>
  <si>
    <t>Frequency variation</t>
  </si>
  <si>
    <t>Form No. : P6</t>
  </si>
  <si>
    <t>Frequency</t>
  </si>
  <si>
    <t>Above 50.5 Hz</t>
  </si>
  <si>
    <t>50.2-49.8 Hz</t>
  </si>
  <si>
    <t>49.5-49.0 Hz</t>
  </si>
  <si>
    <t>49.0-48.5 Hz</t>
  </si>
  <si>
    <t>Below 48.5 Hz</t>
  </si>
  <si>
    <t>Data obtained from SCADA(ULDC)</t>
  </si>
  <si>
    <t>Voltage fluctuation</t>
  </si>
  <si>
    <t>Form No.: P7</t>
  </si>
  <si>
    <t>Name of GSS</t>
  </si>
  <si>
    <t>Transformation capacity</t>
  </si>
  <si>
    <t>Reactive Comp ensati on provided</t>
  </si>
  <si>
    <t>Reactive Comp ensati on provi ded</t>
  </si>
  <si>
    <t>Hrs</t>
  </si>
  <si>
    <t>Khagaul</t>
  </si>
  <si>
    <t>Bodhgaya</t>
  </si>
  <si>
    <t>Gopalganj</t>
  </si>
  <si>
    <t>Samastipur</t>
  </si>
  <si>
    <t>Begusarai</t>
  </si>
  <si>
    <t>Madhepura</t>
  </si>
  <si>
    <t>Motipur</t>
  </si>
  <si>
    <t>Dumraon</t>
  </si>
  <si>
    <t>Ekma</t>
  </si>
  <si>
    <t>Buxar</t>
  </si>
  <si>
    <t>Jehanabad</t>
  </si>
  <si>
    <t>Kochas</t>
  </si>
  <si>
    <t>Ramnagar</t>
  </si>
  <si>
    <t>Bettiah</t>
  </si>
  <si>
    <t>Nawada</t>
  </si>
  <si>
    <t>Note : Upper/Lower voltage limit:  +/- 5% of Rated voltage</t>
  </si>
  <si>
    <t>S. No.</t>
  </si>
  <si>
    <t>Details of Overloaded feeders</t>
  </si>
  <si>
    <t>Form No. : P9</t>
  </si>
  <si>
    <t>Feeder length (ckt. Km)</t>
  </si>
  <si>
    <t xml:space="preserve">No. of feeders overloaded </t>
  </si>
  <si>
    <t>Line length Overloaded feeders (ckt. Km)</t>
  </si>
  <si>
    <t>% number of overloaded feeders in Area</t>
  </si>
  <si>
    <t>%length of overloades of feeders in Area</t>
  </si>
  <si>
    <t>i)</t>
  </si>
  <si>
    <t>Raxaul</t>
  </si>
  <si>
    <t>Details of overloaded Transformers</t>
  </si>
  <si>
    <t>Form No. :P10</t>
  </si>
  <si>
    <t>FY 2016-17</t>
  </si>
  <si>
    <t>Not Applicable for BSPTCL       (SLDC is submitted the petition seperately)</t>
  </si>
  <si>
    <t>Transmission Income per Employee (Rs. Cr)</t>
  </si>
  <si>
    <t>Total line length/employee (cKm.)</t>
  </si>
  <si>
    <t xml:space="preserve">BIHAR STATE POWER TRANSMISSION COMPANY LIMITED </t>
  </si>
  <si>
    <t>Ensuing Year</t>
  </si>
  <si>
    <t>Approved in MYT</t>
  </si>
  <si>
    <t>Audited</t>
  </si>
  <si>
    <t>Forms</t>
  </si>
  <si>
    <t>Apr-Sep (Actual)</t>
  </si>
  <si>
    <t>Oct-Mar (Estimated)</t>
  </si>
  <si>
    <t>Apr-Mar (RE)</t>
  </si>
  <si>
    <t>Projected</t>
  </si>
  <si>
    <t>In MW</t>
  </si>
  <si>
    <t>A) Projection of Sales (MU)</t>
  </si>
  <si>
    <t>C) Projection Of Maxmium or Peak Demand (in MW)(Unrestricted)</t>
  </si>
  <si>
    <t>Ensuing Year (Proj)</t>
  </si>
  <si>
    <t>Transmission Sub-station</t>
  </si>
  <si>
    <t>Approved in Previous MYT</t>
  </si>
  <si>
    <t>FY 2021-22</t>
  </si>
  <si>
    <t>NOA issued on 21.01.2019</t>
  </si>
  <si>
    <t>Admitted</t>
  </si>
  <si>
    <t>8. Disposal/Sale Transfer of Asset</t>
  </si>
  <si>
    <t>Depreciable GFA at the beginning of the year</t>
  </si>
  <si>
    <t>(a) Computation of Interest Cost</t>
  </si>
  <si>
    <t>Opening Loan</t>
  </si>
  <si>
    <t>Capitalization during the year</t>
  </si>
  <si>
    <t>Less: Grants</t>
  </si>
  <si>
    <t>Normative Repayment (Equal to Depreciation)</t>
  </si>
  <si>
    <t>Average Loan ((1+8)/2)</t>
  </si>
  <si>
    <t>Interest Rate (Weighted average Interest of actual loans)</t>
  </si>
  <si>
    <t>Interest on Loan (9*10)</t>
  </si>
  <si>
    <t>Other Finance Charges</t>
  </si>
  <si>
    <t>Total Interest and Finance Charges</t>
  </si>
  <si>
    <t>Rate of return on Equity</t>
  </si>
  <si>
    <t>Equity as on 31.03.2015</t>
  </si>
  <si>
    <t>Amount of equity addition (ongoing projects)</t>
  </si>
  <si>
    <t>Amount of equity addition (upcoming projects)</t>
  </si>
  <si>
    <t>Closing Loan (1+5+6-7)</t>
  </si>
  <si>
    <t>Loan Addition during the year (80% of net capitalization of upcoming projects)</t>
  </si>
  <si>
    <t>Loan Addition during the year (70% of net capitalization of ongoing projects)</t>
  </si>
  <si>
    <t>Base Employee Cost</t>
  </si>
  <si>
    <t>Indexation</t>
  </si>
  <si>
    <t>Add Inflationary Increase</t>
  </si>
  <si>
    <t>Total Employee Cost</t>
  </si>
  <si>
    <t>Overtime</t>
  </si>
  <si>
    <t>Dearness Allowance</t>
  </si>
  <si>
    <t>Other Allowance</t>
  </si>
  <si>
    <t>Medical Expense Re-imbursement</t>
  </si>
  <si>
    <t>Staff Welfare Expenses</t>
  </si>
  <si>
    <t>Salaries</t>
  </si>
  <si>
    <t>Total Salaries</t>
  </si>
  <si>
    <t>Average Annual CPI Index</t>
  </si>
  <si>
    <t>Norms-Number of personnel per Ckt/km</t>
  </si>
  <si>
    <t>Transmission Line in Ckt Km</t>
  </si>
  <si>
    <t>Norms-Number of personnel per sub-station</t>
  </si>
  <si>
    <t>No. of Sub-stations</t>
  </si>
  <si>
    <t>Base Value</t>
  </si>
  <si>
    <t>Norms-Annual Expenses per personnel (Rs. Lakh)</t>
  </si>
  <si>
    <t>Employee Cost on Ckt Km Basis</t>
  </si>
  <si>
    <t>Employee Cost on Substation Basis</t>
  </si>
  <si>
    <t>FY 2018-19</t>
  </si>
  <si>
    <t>Estimate</t>
  </si>
  <si>
    <t>Inflationary Index</t>
  </si>
  <si>
    <t>Inflationary Increase</t>
  </si>
  <si>
    <t>Base A&amp;G Expenses</t>
  </si>
  <si>
    <t>A&amp;G Expenses</t>
  </si>
  <si>
    <t>Legal Charges</t>
  </si>
  <si>
    <t>Audit Charges</t>
  </si>
  <si>
    <t>Director's Sitting Fee</t>
  </si>
  <si>
    <t>Interest on Statutory Dues</t>
  </si>
  <si>
    <t>Holding Charges</t>
  </si>
  <si>
    <t>Fees &amp; Subscription</t>
  </si>
  <si>
    <t>Books &amp; Periodicals</t>
  </si>
  <si>
    <t>Printing &amp; Stationary</t>
  </si>
  <si>
    <t>Advertisement</t>
  </si>
  <si>
    <t>Entertainment Charges</t>
  </si>
  <si>
    <t>Commission for sale of scrap</t>
  </si>
  <si>
    <t>Home Guard/ Security Guard</t>
  </si>
  <si>
    <t>Miscellaneous Expenses</t>
  </si>
  <si>
    <t>Expenditure on CSR</t>
  </si>
  <si>
    <t>Base Values</t>
  </si>
  <si>
    <t>No. of employees</t>
  </si>
  <si>
    <t>Norms-A&amp;G Expenses per substation (Rs. Lakh)</t>
  </si>
  <si>
    <t>No of substations</t>
  </si>
  <si>
    <t>A&amp;G Expenses on Employee basis</t>
  </si>
  <si>
    <t>A&amp;G Expenses on Sub-station basis</t>
  </si>
  <si>
    <t>Total A&amp;G Expenses</t>
  </si>
  <si>
    <t>Base Non-Tariff Income</t>
  </si>
  <si>
    <t>Escalation @5%</t>
  </si>
  <si>
    <t>Non Tariff Income</t>
  </si>
  <si>
    <t>Income from Tax Refund</t>
  </si>
  <si>
    <t>Lease Rental Income</t>
  </si>
  <si>
    <t>Supervision Charges</t>
  </si>
  <si>
    <t>Other Transmission Charges</t>
  </si>
  <si>
    <t>Form No:</t>
  </si>
  <si>
    <t>Details of Transmission Incentive</t>
  </si>
  <si>
    <t>Actual Availability</t>
  </si>
  <si>
    <t>Additional Achievement</t>
  </si>
  <si>
    <t>Normative</t>
  </si>
  <si>
    <t>(Rs. Crore)</t>
  </si>
  <si>
    <t>Non-Tariff Income</t>
  </si>
  <si>
    <t>Rs. Crore</t>
  </si>
  <si>
    <t>Gross Fixed Assets (as at end of the year) Admitted by the Commisson( 4+5+6-7-8)</t>
  </si>
  <si>
    <t>(b) Price Inflation</t>
  </si>
  <si>
    <t>Norms-A&amp;G Expenses per personnel</t>
  </si>
  <si>
    <t>Income from Sale of Scrap</t>
  </si>
  <si>
    <t>Less: Depreciation, RoE, and Contribution to Contingency Reserves for 2 months</t>
  </si>
  <si>
    <t>Less Discount given to DISCOM</t>
  </si>
  <si>
    <t>Weighted Average rate of Depreciation on Opening GFA</t>
  </si>
  <si>
    <t xml:space="preserve">Weighted Average rate of Depreciation on GFA Addition </t>
  </si>
  <si>
    <t>Gross Depreciation as per Commission methodology</t>
  </si>
  <si>
    <t>Depreciation for Grant</t>
  </si>
  <si>
    <t>Net Depreciation of GFA(11-22)</t>
  </si>
  <si>
    <t>Less Employee cost of SLDC</t>
  </si>
  <si>
    <t>Less SLDC Expenses</t>
  </si>
  <si>
    <t>Add Cost of land</t>
  </si>
  <si>
    <t>Add Land Cost</t>
  </si>
  <si>
    <t xml:space="preserve">132KV Pusauli(PG) - Kudra Ckt. </t>
  </si>
  <si>
    <t>132KV Purnea(PG) - Purnea Ckt. III</t>
  </si>
  <si>
    <t>132KV Purnea(PG) - Kishanganj old</t>
  </si>
  <si>
    <t>132KV Ara(PG) - Ara Ckt.</t>
  </si>
  <si>
    <t>132KV Kehalgaon(NTPC) - Kahalgaon Ckt.</t>
  </si>
  <si>
    <t>132KV MTPS-Motipur</t>
  </si>
  <si>
    <t xml:space="preserve"> 132 KV Rajgir - Barhi Ckt.</t>
  </si>
  <si>
    <t xml:space="preserve"> 132 KV Nalanda - Barhi Ckt.</t>
  </si>
  <si>
    <t xml:space="preserve"> 132 KV Karmnasha - Chandauli Ckt.</t>
  </si>
  <si>
    <t xml:space="preserve"> 132 KV Karmnasha - Sahupuri Ckt.</t>
  </si>
  <si>
    <t xml:space="preserve"> 132 KV Kahalgaon - Lalmatiya</t>
  </si>
  <si>
    <t xml:space="preserve"> 132 KV Sultanganj - Deoghar Ckt.</t>
  </si>
  <si>
    <t xml:space="preserve"> 132 KV Baisi - Dalkola Ckt. </t>
  </si>
  <si>
    <t>132KV Jakkanpur-Karbighaia</t>
  </si>
  <si>
    <t>132KV Katra-Gaighat</t>
  </si>
  <si>
    <t>132KV Fatuha-Gaighat</t>
  </si>
  <si>
    <t>132KV Fatuah-Katra</t>
  </si>
  <si>
    <t>132KV KHAGAUL-TSS</t>
  </si>
  <si>
    <t xml:space="preserve">132KV Dehri-Sasaram </t>
  </si>
  <si>
    <t>132KV Sasaram- Pusauli(BSPTCL)</t>
  </si>
  <si>
    <t>132KV Dehri-Bikramganj</t>
  </si>
  <si>
    <t>132KV Bikramganj-Dumraon</t>
  </si>
  <si>
    <t>132 kV Bikramganj-Piro</t>
  </si>
  <si>
    <t>132KV Dehri-Kochas</t>
  </si>
  <si>
    <t>132KV Kochas-Dumroan</t>
  </si>
  <si>
    <t>132KV Dehri-Kudra</t>
  </si>
  <si>
    <t>132 KV Kudra- Kochas</t>
  </si>
  <si>
    <t>132KV Banjari-KCL</t>
  </si>
  <si>
    <t>132 kV Sonenagar(New)-Sonenagar ckt-I</t>
  </si>
  <si>
    <t>133 kV Sonenagar(New)-Sonenagar ckt-II</t>
  </si>
  <si>
    <t>132KV Sonenagar-Chandauti (L-30)</t>
  </si>
  <si>
    <t>132KV Sonenagar -Rafiganj(L-31)</t>
  </si>
  <si>
    <t>132KV Rafiganj-Chandauti (L-31)</t>
  </si>
  <si>
    <t>132KV Sonenagar-Rihand Ckt-I</t>
  </si>
  <si>
    <t xml:space="preserve">132KV Kochas-Pusauli </t>
  </si>
  <si>
    <t>132KV Aurangabad-Shree Cement</t>
  </si>
  <si>
    <t>132 kV Pusauli (BSPTCL)- Ramgarh</t>
  </si>
  <si>
    <t>132 kV Pusauli- Bhabhua(Mundeshwari)</t>
  </si>
  <si>
    <t>132KV Ara-Ara TSS</t>
  </si>
  <si>
    <t>132 KV Karmnasa-Kudra TSS</t>
  </si>
  <si>
    <t>132 kV Ramgarh-Mohania</t>
  </si>
  <si>
    <t>132KV Dumraon-TSS Dumraon</t>
  </si>
  <si>
    <t>132KV Bodhgaya-Khizirsarai(BGCL)</t>
  </si>
  <si>
    <t>132KV Bodhgaya-Sherghati</t>
  </si>
  <si>
    <t>132KV Bodhgaya-Imamganj</t>
  </si>
  <si>
    <t>132KV Sherghati-Imamganj T/L</t>
  </si>
  <si>
    <t>132KV Wazirganj-Nawada</t>
  </si>
  <si>
    <t>132KV Khizirsarai(BGCL)-Wazirganj</t>
  </si>
  <si>
    <t>132KV Chandauti-Tekari</t>
  </si>
  <si>
    <t>132KV Goh-Tekari</t>
  </si>
  <si>
    <t>132KV Jehanabad-Jehanabad TSS</t>
  </si>
  <si>
    <t>132KV Ekangarsarai-Hulasganj</t>
  </si>
  <si>
    <t>132KV Biharsarif (SG)-Ekangarsarai</t>
  </si>
  <si>
    <t>132KV Biharsarif (SG)-Barh Ckt-I</t>
  </si>
  <si>
    <t>132KV Barh-Hathidah Ckt-I</t>
  </si>
  <si>
    <t>132KV Biharsarif (SG)-Hathidah Ckt-II</t>
  </si>
  <si>
    <t>132KV Hathidah-Lakhisarai</t>
  </si>
  <si>
    <t>132KV Hathidah-Sheikhpura</t>
  </si>
  <si>
    <t xml:space="preserve"> 132 KV Biharsharif-Warsaliganj </t>
  </si>
  <si>
    <t xml:space="preserve"> 132 KV Warsaliganj -Nawada </t>
  </si>
  <si>
    <t>132KV Biharsarif (SG)-Nawada</t>
  </si>
  <si>
    <t>132KV Biharsarif-Rajgir (L-29)</t>
  </si>
  <si>
    <t>132KV Biharsarif (SG)-Nalanda (L28)</t>
  </si>
  <si>
    <t>132KV Baripahari-Harnaut</t>
  </si>
  <si>
    <t>132KV Lakhisarai-Jamui</t>
  </si>
  <si>
    <t>132KV Lakhisarai - Lakhisarai TSS</t>
  </si>
  <si>
    <t>132 KV Lakhisarai-Sheikhpura</t>
  </si>
  <si>
    <t>132KV Lakhisarai-Jamalpur</t>
  </si>
  <si>
    <t>132KV Jamalpur-Tarapur (LILO)</t>
  </si>
  <si>
    <t>132KV Tarapur-Sultanganj(LILO)</t>
  </si>
  <si>
    <t>132KV Sabour-Sultanganj Ckt-I</t>
  </si>
  <si>
    <t>132KV Sabour-Kahalgaon</t>
  </si>
  <si>
    <t>132KV Begusarai-Samastipur (L-9)</t>
  </si>
  <si>
    <t>132KV Begusarai-Dalsingsarai (L-10)</t>
  </si>
  <si>
    <t>132 KV Begusarai- Balia</t>
  </si>
  <si>
    <t>132 KV Begusarai-Manjhaul</t>
  </si>
  <si>
    <t xml:space="preserve">132 KV Begusarai- Teghra </t>
  </si>
  <si>
    <t>132 kV Balia-Bakhri</t>
  </si>
  <si>
    <t>132 kV Manjhaul-Bakhri</t>
  </si>
  <si>
    <t>132KV Purnea-Naugachia (L-16)</t>
  </si>
  <si>
    <t>132KV Purnea-Manihari</t>
  </si>
  <si>
    <t>132KV Purnea-Dhamdaha</t>
  </si>
  <si>
    <t>132KV Purnea-Triveniganj</t>
  </si>
  <si>
    <t>132KV Dhamdaha-Banmankhi</t>
  </si>
  <si>
    <t>132KV Banmankhi-Saharsa</t>
  </si>
  <si>
    <t>132KV Manihari-Katihar</t>
  </si>
  <si>
    <t>132 KV kishanganj(New)- Barsoi</t>
  </si>
  <si>
    <t>132KV Kishanganj-Forbisganj</t>
  </si>
  <si>
    <t>132KV Kishanganj-Baisi</t>
  </si>
  <si>
    <t>132KV Kishanganj-Araria</t>
  </si>
  <si>
    <t>132KV Araria-Forbisganj</t>
  </si>
  <si>
    <t>132KV Forbisganj-Triveniganj</t>
  </si>
  <si>
    <t>132KV Kataiya- Dohabi</t>
  </si>
  <si>
    <t>132KV Kataiya-Kushaha T/L</t>
  </si>
  <si>
    <t>132KV Supaul - Nirmali</t>
  </si>
  <si>
    <t>132KV Nirmali-Phulparas</t>
  </si>
  <si>
    <t>132KV Supaul-Phulparas</t>
  </si>
  <si>
    <t xml:space="preserve">132KV Jainagar-Madhubani </t>
  </si>
  <si>
    <t>132KV Jainagar-Benipatti(LILO)</t>
  </si>
  <si>
    <t>132KV Benipatti(LILO)-Madhubani</t>
  </si>
  <si>
    <t>132KV Benipatti-Sursand(Pupri)</t>
  </si>
  <si>
    <t>132KV Gangwara - Pandaul</t>
  </si>
  <si>
    <t xml:space="preserve">132KV Darbhangha(old)-Gangwara </t>
  </si>
  <si>
    <t>132KV  Kusheshwarsthan-Dalsinghsarai</t>
  </si>
  <si>
    <t>132KV Kusheshwarsthan-Rosera</t>
  </si>
  <si>
    <t>132KV Madhepura-Sonebarsa ckt-I</t>
  </si>
  <si>
    <t>132KV  Sonebarsa-Simri Bakhtiyarpur</t>
  </si>
  <si>
    <t>132KV Dalsingsarai-Samastipur (L-10)</t>
  </si>
  <si>
    <t>132 kV Dalsingsarai- Bachhwara(TSS)</t>
  </si>
  <si>
    <t>132 kV Dalsinghsarai-Rosera</t>
  </si>
  <si>
    <t xml:space="preserve">132KV Samastipur(New)-Shahpurpatori </t>
  </si>
  <si>
    <t>132KV Samastipur(old)-Jandaha</t>
  </si>
  <si>
    <t>132KV Hajipur(new) - Jandaha</t>
  </si>
  <si>
    <t>132KVSamastipur(old)- Hajipur(new)</t>
  </si>
  <si>
    <t>132KV Hajipur - Hajipur TSS</t>
  </si>
  <si>
    <t>132KV Hajipur- Chapra</t>
  </si>
  <si>
    <t xml:space="preserve">132KV Jandaha-Mahnar </t>
  </si>
  <si>
    <t>132KV Vaishali-Sheetalpur</t>
  </si>
  <si>
    <t>132 KV Vaishali- Bela rail factory</t>
  </si>
  <si>
    <t>132 KV Sheetalpur- Bela rail factory</t>
  </si>
  <si>
    <t>132KV Muzaffarpur-SKMCH</t>
  </si>
  <si>
    <t>132KV SKMCH-Belsand(LILO at loc. 110/111, 11.74 kM)</t>
  </si>
  <si>
    <t>132KV Belsand-Runnisaidpur</t>
  </si>
  <si>
    <t>132KV Runisaidpur-Sitamarhi</t>
  </si>
  <si>
    <t>132 kV Sitamarhi-Sheohar(LILO at  loc. 79, 0.7 kM)</t>
  </si>
  <si>
    <t>132KV Sheohar-Dhaka</t>
  </si>
  <si>
    <t>132KV Sitamarhi-Dhaka</t>
  </si>
  <si>
    <t>132 KV Motipur- Chakia</t>
  </si>
  <si>
    <t>132KV  Motipur-Motihari</t>
  </si>
  <si>
    <t>132 KV Motihari-Sugauli(sugar mill)S/C</t>
  </si>
  <si>
    <t>132KV Motihari-Bettiah</t>
  </si>
  <si>
    <t>132KV Dhaka- Pakridayal</t>
  </si>
  <si>
    <t>132KV Bettiah-Gopalganj</t>
  </si>
  <si>
    <t>132KV Bettiah-Areraj</t>
  </si>
  <si>
    <t>132KV Areraj-Gopalganj</t>
  </si>
  <si>
    <t>132KV Bettia - Narkatiyaganj</t>
  </si>
  <si>
    <t>132KV Narkatiyaganj - Ramnagar</t>
  </si>
  <si>
    <t>132KV Ramnagar-Valmikinagar-Surajpura S/C</t>
  </si>
  <si>
    <t>132KV Ramnagar-Lauriya Sugar mills</t>
  </si>
  <si>
    <t>132KV Ramnagar-Narkatiyaganj Sugar mills</t>
  </si>
  <si>
    <t>132KV Ramnagar-Harinagar Sugar mills</t>
  </si>
  <si>
    <t>132KV Gopalganj/ Bettia Line- SUGAR MILL Sidhwalia</t>
  </si>
  <si>
    <t>132KV Gopalganj - Hathua</t>
  </si>
  <si>
    <t>132KV Hathua-Siwan</t>
  </si>
  <si>
    <t>132 KV Siwan-Panchrukhi TSS</t>
  </si>
  <si>
    <t xml:space="preserve">T conection' of 132KV Chapra-Siwan(new) line at Ekma </t>
  </si>
  <si>
    <t>132KV Chapra- Sheetalpur</t>
  </si>
  <si>
    <t>132KV Chapra - Chapra TSS</t>
  </si>
  <si>
    <t>132/33 KV Aurangabad</t>
  </si>
  <si>
    <t>132/33 KV Ara</t>
  </si>
  <si>
    <t>132/33 KV Banjari</t>
  </si>
  <si>
    <t>132/33 KV Chandauti(Gaya)</t>
  </si>
  <si>
    <t>132/33 KV Dumroan</t>
  </si>
  <si>
    <t>132/33 KV Hathidah</t>
  </si>
  <si>
    <t>132/33 KV Jamui</t>
  </si>
  <si>
    <t>132/33 KV Jehanabad</t>
  </si>
  <si>
    <t>132/33 KV Karamnasa</t>
  </si>
  <si>
    <t>132/33 KV Lakhisarai</t>
  </si>
  <si>
    <t>132/33 KV Rafiganj</t>
  </si>
  <si>
    <t>132/33 KV Rajgir</t>
  </si>
  <si>
    <t>132/33 KV Sherghati</t>
  </si>
  <si>
    <t>132/33 KV Sonenagar</t>
  </si>
  <si>
    <t>220/132/33 KV Bodhgaya</t>
  </si>
  <si>
    <t>220/132/33 KV Fatuha</t>
  </si>
  <si>
    <t>220/132/33 KV Khagaul</t>
  </si>
  <si>
    <t>220/132/33 KV Pusouli</t>
  </si>
  <si>
    <t>132/33 KV Chapra</t>
  </si>
  <si>
    <t>132/33 KV Dalsinghsarai</t>
  </si>
  <si>
    <t>132/33 KV Hazipur</t>
  </si>
  <si>
    <t>132/33 KV Kataya</t>
  </si>
  <si>
    <t>132/33 KV Katihar</t>
  </si>
  <si>
    <t>132/33 KV Khagaria</t>
  </si>
  <si>
    <t>132/33 KV Motihari</t>
  </si>
  <si>
    <t>132/33 KV Raxaul</t>
  </si>
  <si>
    <t>132/33 KV Rosera</t>
  </si>
  <si>
    <t>132/33 KV Sheetalpur</t>
  </si>
  <si>
    <t>132/33 KV Siwan</t>
  </si>
  <si>
    <t>132/33 KV Vaishali</t>
  </si>
  <si>
    <t>132/33 Samastipur</t>
  </si>
  <si>
    <t>220/132/33 KV Gopalganj</t>
  </si>
  <si>
    <t>220/132/33 KV Madhepura</t>
  </si>
  <si>
    <t>220/132/33 KV Motipur</t>
  </si>
  <si>
    <t>132/33 KV Ataula</t>
  </si>
  <si>
    <t>132/33 KV Banka</t>
  </si>
  <si>
    <t>132/33 KV Banka(New)</t>
  </si>
  <si>
    <t>132/33 KV Barh</t>
  </si>
  <si>
    <t>132/33 KV Baripahari</t>
  </si>
  <si>
    <t>132/33 KV Belaganj</t>
  </si>
  <si>
    <t>132/33 KV Bikramganj</t>
  </si>
  <si>
    <t>132/33 KV Buxar</t>
  </si>
  <si>
    <t>132/33 KV Digha</t>
  </si>
  <si>
    <t>132/33 KV Ekangarsarai</t>
  </si>
  <si>
    <t>132/33 KV Gaighat</t>
  </si>
  <si>
    <t>132/33 KV Goh</t>
  </si>
  <si>
    <t>132/33 KV Harnaut</t>
  </si>
  <si>
    <t>132/33 KV Hulasganj</t>
  </si>
  <si>
    <t>132/33 KV Imamganj</t>
  </si>
  <si>
    <t>132/33 KV Jagdishpur</t>
  </si>
  <si>
    <t>132/33 KV Jakkanpur</t>
  </si>
  <si>
    <t>132/33 KV Jamalpur</t>
  </si>
  <si>
    <t>132/33 KV Kahalgaon</t>
  </si>
  <si>
    <t>132/33 KV Karbighaya</t>
  </si>
  <si>
    <t>132/33 KV Katra</t>
  </si>
  <si>
    <t>132/33 KV Kochas</t>
  </si>
  <si>
    <t>132/33 KV Kudra</t>
  </si>
  <si>
    <t>132/33 KV Masaudhi</t>
  </si>
  <si>
    <t>132/33 KV Mithapur</t>
  </si>
  <si>
    <t>132/33 KV Mundeshwari(Bhabua)</t>
  </si>
  <si>
    <t>132/33 KV Nalanda</t>
  </si>
  <si>
    <t>132/33 KV Naugachia</t>
  </si>
  <si>
    <t>132/33 KV Nawada</t>
  </si>
  <si>
    <t>132/33 KV Piro</t>
  </si>
  <si>
    <t>132/33 KV Sabour</t>
  </si>
  <si>
    <t>132/33 KV Sasaram</t>
  </si>
  <si>
    <t>132/33 KV Shekhpura</t>
  </si>
  <si>
    <t>132/33 KV Sultanganj</t>
  </si>
  <si>
    <t>132/33 KV Tarapur</t>
  </si>
  <si>
    <t>132/33 KV Tehta</t>
  </si>
  <si>
    <t>132/33 KV Tekari</t>
  </si>
  <si>
    <t>132/33 KV Wajirganj</t>
  </si>
  <si>
    <t>132/33 KV Warsaliganj</t>
  </si>
  <si>
    <t>132/33KV Bihta</t>
  </si>
  <si>
    <t>220/132 KV Nawada GIS (BGCL)</t>
  </si>
  <si>
    <t>220/132/33 KV Dehri</t>
  </si>
  <si>
    <t>220/132/33 KV Sipara</t>
  </si>
  <si>
    <t>220/132/33 KV Sonenagar (new)</t>
  </si>
  <si>
    <t>132/33 KV Areraj</t>
  </si>
  <si>
    <t>132/33 KV Araria</t>
  </si>
  <si>
    <t>132/33 KV Baisi</t>
  </si>
  <si>
    <t>132/33 KV Bakhri</t>
  </si>
  <si>
    <t>132/33 KV Banmankhi</t>
  </si>
  <si>
    <t>132/33 KV Barsoi</t>
  </si>
  <si>
    <t>132/33 KV Belsand</t>
  </si>
  <si>
    <t>132/33 KV Benipatti</t>
  </si>
  <si>
    <t>132/33 KV Bettiah</t>
  </si>
  <si>
    <t>132/33 KV Chakiya</t>
  </si>
  <si>
    <t>132/33 KV Darbhanga</t>
  </si>
  <si>
    <t>132/33 KV Dhaka</t>
  </si>
  <si>
    <t>132/33 KV Dhamdaha</t>
  </si>
  <si>
    <t>132/33 KV Dhanha (Thakraha)</t>
  </si>
  <si>
    <t>132/33 KV Ekma</t>
  </si>
  <si>
    <t>132/33 KV Forbisganj</t>
  </si>
  <si>
    <t>132/33 KV Hathua</t>
  </si>
  <si>
    <t>132/33 KV Jainagar</t>
  </si>
  <si>
    <t>132/33 KV Jandaha</t>
  </si>
  <si>
    <t>132/33 KV Jhanjharpur</t>
  </si>
  <si>
    <t>132/33 KV Kishanganj</t>
  </si>
  <si>
    <t>132/33 KV Kusheshwarsthan</t>
  </si>
  <si>
    <t>132/33 KV Madhubani</t>
  </si>
  <si>
    <t>132/33 KV Maharajganj</t>
  </si>
  <si>
    <t>132/33 KV Mahnar</t>
  </si>
  <si>
    <t>132/33 KV Majhaul</t>
  </si>
  <si>
    <t>132/33 KV Muzaffarpur</t>
  </si>
  <si>
    <t>132/33 KV Narkatiaganj</t>
  </si>
  <si>
    <t>132/33 KV Nirmali</t>
  </si>
  <si>
    <t>132/33 KV Pakhridayal</t>
  </si>
  <si>
    <t>132/33 KV Pandaul</t>
  </si>
  <si>
    <t>132/33 KV Phulparas</t>
  </si>
  <si>
    <t>132/33 KV Pupri</t>
  </si>
  <si>
    <t>132/33 KV Purnea</t>
  </si>
  <si>
    <t>132/33 KV Runisaidpur</t>
  </si>
  <si>
    <t>132/33 KV Saharsa</t>
  </si>
  <si>
    <t>132/33 KV Shahpurpatori</t>
  </si>
  <si>
    <t>132/33 KV Sheohar</t>
  </si>
  <si>
    <t>132/33 KV Simribakhtiyarpur</t>
  </si>
  <si>
    <t>132/33 KV Sitamarhi</t>
  </si>
  <si>
    <t>132/33 KV SKMCH</t>
  </si>
  <si>
    <t>132/33 KV Sonebarsa</t>
  </si>
  <si>
    <t>132/33 KV Teghra</t>
  </si>
  <si>
    <t>132/33 KV Triveniganj</t>
  </si>
  <si>
    <t>132/33 Siwan-New (Raghunathpur)</t>
  </si>
  <si>
    <t>132/33KV Raghopur</t>
  </si>
  <si>
    <t>220/132/33 KV Begusarai</t>
  </si>
  <si>
    <t>220/132/33 KV Kishanganj (new)</t>
  </si>
  <si>
    <t>220/132/33 KV Laukahi</t>
  </si>
  <si>
    <t>220/132/33 KV Musahari</t>
  </si>
  <si>
    <t>220/132/33 KV Samastipur (new)</t>
  </si>
  <si>
    <t>Total of all Voltages</t>
  </si>
  <si>
    <t/>
  </si>
  <si>
    <t xml:space="preserve">No. of Accidents </t>
  </si>
  <si>
    <t>2X50</t>
  </si>
  <si>
    <t xml:space="preserve">Add: Revenue Gap /(Surplus) of Previous Year </t>
  </si>
  <si>
    <t>Gross Depreciation</t>
  </si>
  <si>
    <t>Interest for FY 2019-20 [SBI MCLR Rate 8.55%+1.5%) @10.05%] for 6 months</t>
  </si>
  <si>
    <t>Interest for FY 2020-21 [SBI MCLR Rate 8.00%+1.5%) @10.05%] for 6 months</t>
  </si>
  <si>
    <t>(Shortfall)/Excess after tariff revision impact (E-F)</t>
  </si>
  <si>
    <t>Total (shortfall)/surplus with carrying cost/interest</t>
  </si>
  <si>
    <t>Amount of IDC, FC, FERV &amp; Hedging cost excluded in above</t>
  </si>
  <si>
    <t>Carrying cost of Revenue Gap</t>
  </si>
  <si>
    <t>At Proposed Tariff Rates after adjusting Gap/(Surplus)</t>
  </si>
  <si>
    <t>Estimated</t>
  </si>
  <si>
    <t>Interest on Working Capital</t>
  </si>
  <si>
    <t>Incentive on Transmission Availability</t>
  </si>
  <si>
    <t>Income Tax</t>
  </si>
  <si>
    <t>J</t>
  </si>
  <si>
    <t>Add: Previous Year Gap</t>
  </si>
  <si>
    <t>Regulatory Account for the purpose of calculation of Normative Loan , Equity etc as per prescribed regulation is under progress</t>
  </si>
  <si>
    <t>(h) Capital Cost Estimates and Schedule of commissioning for New Projects</t>
  </si>
  <si>
    <t>b) IDC</t>
  </si>
  <si>
    <t>c) New Investment capitalization</t>
  </si>
  <si>
    <t xml:space="preserve">Link </t>
  </si>
  <si>
    <t>Not Claimed</t>
  </si>
  <si>
    <t>Not Applicable as SLDC has submitted the petition seperately</t>
  </si>
  <si>
    <t>Forn No. P5 revised</t>
  </si>
  <si>
    <t>Dehri</t>
  </si>
  <si>
    <t>Muzaffarpur</t>
  </si>
  <si>
    <t>Mohania</t>
  </si>
  <si>
    <t>Aurangabad</t>
  </si>
  <si>
    <t>BSPTCL</t>
  </si>
  <si>
    <t>Form No. :P11</t>
  </si>
  <si>
    <t>Name of Sub- station</t>
  </si>
  <si>
    <t>Voltage 
level kv</t>
  </si>
  <si>
    <t xml:space="preserve">132 kV </t>
  </si>
  <si>
    <t>Mithapur</t>
  </si>
  <si>
    <t>2X80</t>
  </si>
  <si>
    <t>Katra</t>
  </si>
  <si>
    <t>3X80</t>
  </si>
  <si>
    <t>2X20+1X50</t>
  </si>
  <si>
    <t>Gaighat</t>
  </si>
  <si>
    <t>Fatuha</t>
  </si>
  <si>
    <t>Hathidah</t>
  </si>
  <si>
    <t>4X50</t>
  </si>
  <si>
    <t>Jakkanpur</t>
  </si>
  <si>
    <t>Digha</t>
  </si>
  <si>
    <t>1X160</t>
  </si>
  <si>
    <t>4X100</t>
  </si>
  <si>
    <t>4X80</t>
  </si>
  <si>
    <t>3X50</t>
  </si>
  <si>
    <t>Banjari</t>
  </si>
  <si>
    <t>3X20</t>
  </si>
  <si>
    <t>2X20</t>
  </si>
  <si>
    <t>Sasaram</t>
  </si>
  <si>
    <t>Bikramganj</t>
  </si>
  <si>
    <t>2X50+1X20</t>
  </si>
  <si>
    <t>1X50+2X20</t>
  </si>
  <si>
    <t>Goh</t>
  </si>
  <si>
    <t>Rafiganj</t>
  </si>
  <si>
    <t>1X50+1X20</t>
  </si>
  <si>
    <t>Ara</t>
  </si>
  <si>
    <t>Jagdishpur</t>
  </si>
  <si>
    <t>Dumroan</t>
  </si>
  <si>
    <t>1X20+2X50</t>
  </si>
  <si>
    <t>Piro</t>
  </si>
  <si>
    <t>Kudra</t>
  </si>
  <si>
    <t>Ramgarh</t>
  </si>
  <si>
    <t>Tekari</t>
  </si>
  <si>
    <t>Sherghati</t>
  </si>
  <si>
    <t>Wazirganj</t>
  </si>
  <si>
    <t>Imamganj</t>
  </si>
  <si>
    <t>Chandauti</t>
  </si>
  <si>
    <t>Belaganj</t>
  </si>
  <si>
    <t>Tehta</t>
  </si>
  <si>
    <t>Ataula</t>
  </si>
  <si>
    <t>1X20+1X50</t>
  </si>
  <si>
    <t>Hulasganj</t>
  </si>
  <si>
    <t>3X150</t>
  </si>
  <si>
    <t>1X20</t>
  </si>
  <si>
    <t>Nalanda</t>
  </si>
  <si>
    <t>Ekangarsarai</t>
  </si>
  <si>
    <t>Harnaut</t>
  </si>
  <si>
    <t>Baripahari</t>
  </si>
  <si>
    <t>3X50+1X20</t>
  </si>
  <si>
    <t>Rajgir</t>
  </si>
  <si>
    <t>Sheikhpura</t>
  </si>
  <si>
    <t>Jamalpur</t>
  </si>
  <si>
    <t>Naugachia</t>
  </si>
  <si>
    <t>Kahalgaon</t>
  </si>
  <si>
    <t>Tarapur</t>
  </si>
  <si>
    <t>Sabour</t>
  </si>
  <si>
    <t>Sultanganj</t>
  </si>
  <si>
    <t>Jamui</t>
  </si>
  <si>
    <t>Balia</t>
  </si>
  <si>
    <t>Manjhaul</t>
  </si>
  <si>
    <t>Teghra</t>
  </si>
  <si>
    <t>Khagaria</t>
  </si>
  <si>
    <t>Lakhisarai</t>
  </si>
  <si>
    <t>Purnea</t>
  </si>
  <si>
    <t>Dhamdaha</t>
  </si>
  <si>
    <t>Manihari</t>
  </si>
  <si>
    <t>Barsoi</t>
  </si>
  <si>
    <t>Katihar</t>
  </si>
  <si>
    <t>Baisi</t>
  </si>
  <si>
    <t>Bakhri</t>
  </si>
  <si>
    <t>Araria</t>
  </si>
  <si>
    <t>SKMCH</t>
  </si>
  <si>
    <t>Sitamarhi</t>
  </si>
  <si>
    <t>Belsand</t>
  </si>
  <si>
    <t>Pupri</t>
  </si>
  <si>
    <t>Sheohar</t>
  </si>
  <si>
    <t>Vaishali</t>
  </si>
  <si>
    <t>Jandaha</t>
  </si>
  <si>
    <t>Mahnar</t>
  </si>
  <si>
    <t>3X100</t>
  </si>
  <si>
    <t>Shahpurpatori</t>
  </si>
  <si>
    <t>Rosera</t>
  </si>
  <si>
    <t>Pandaul</t>
  </si>
  <si>
    <t>Benipatti</t>
  </si>
  <si>
    <t>Madhubani</t>
  </si>
  <si>
    <t>Jhanjharpur</t>
  </si>
  <si>
    <t>Motihari</t>
  </si>
  <si>
    <t>Dhaka</t>
  </si>
  <si>
    <t>Pakridayal</t>
  </si>
  <si>
    <t>Areraj</t>
  </si>
  <si>
    <t>Narkatiyaganj</t>
  </si>
  <si>
    <t>Chapra</t>
  </si>
  <si>
    <t>Sheetalpur</t>
  </si>
  <si>
    <t>Siwan</t>
  </si>
  <si>
    <t>Maharajganj</t>
  </si>
  <si>
    <t>Saharsa</t>
  </si>
  <si>
    <t>Nirmali</t>
  </si>
  <si>
    <t>Triveniganj</t>
  </si>
  <si>
    <t>Raghopur</t>
  </si>
  <si>
    <t xml:space="preserve">      Previous Year (FY 2019-20)</t>
  </si>
  <si>
    <t>Current Year (FY 2020-21)</t>
  </si>
  <si>
    <t>Ensuing Year (FY 2021-22)</t>
  </si>
  <si>
    <t>Provisional</t>
  </si>
  <si>
    <t>Gaurichak</t>
  </si>
  <si>
    <t>Chakia</t>
  </si>
  <si>
    <t>50 MVA</t>
  </si>
  <si>
    <t>Barh</t>
  </si>
  <si>
    <t>Masaudhi</t>
  </si>
  <si>
    <t>Udakishanganj</t>
  </si>
  <si>
    <t>Time during which voltage in an year(till Sep 2020)</t>
  </si>
  <si>
    <t>50.5-50.2 Hz</t>
  </si>
  <si>
    <t>Name of Transmission Licensee : BSPTCL &amp; BGCL</t>
  </si>
  <si>
    <t>Railway LTOA 
(MUs)</t>
  </si>
  <si>
    <t>132/33 Mushrakh</t>
  </si>
  <si>
    <t>132/33 Ramnagar</t>
  </si>
  <si>
    <t>132/33 kV Valmikinagar</t>
  </si>
  <si>
    <t>BTPS STAGE I</t>
  </si>
  <si>
    <t>220/132 KV Bihta(New)</t>
  </si>
  <si>
    <t>220/132 KV Khisersarai GIS(BGCL)</t>
  </si>
  <si>
    <t>220/132 KV Sheikhpura GIS(BGCL)</t>
  </si>
  <si>
    <t>220/132/33 KV Biharsharif(SG)</t>
  </si>
  <si>
    <t>132/33 KV Gangwara</t>
  </si>
  <si>
    <t>220/132/33 KV Amnour GIS(BGCL)</t>
  </si>
  <si>
    <t>220/132/33 KV Darbhanga</t>
  </si>
  <si>
    <t>220/132/33 KV Hazipur</t>
  </si>
  <si>
    <t>132/33 KV Bhagalpur(New)</t>
  </si>
  <si>
    <t>132/33 Manihari</t>
  </si>
  <si>
    <t>220/132 KV Jamalpur GIS</t>
  </si>
  <si>
    <t>220/132 KV Sabour New GIS(BGCL)</t>
  </si>
  <si>
    <t>133 KV Balia</t>
  </si>
  <si>
    <t>PGCIL Tertiary Auxiliary Consumption</t>
  </si>
  <si>
    <t>132/33 KV Kerpa</t>
  </si>
  <si>
    <t>132/33 KV Benipur</t>
  </si>
  <si>
    <t>220/132/33kV Khagaria</t>
  </si>
  <si>
    <t>FY 2021-22(Projected)</t>
  </si>
  <si>
    <t>Previous 
year 
(Provisional)</t>
  </si>
  <si>
    <t>Current
Year 
(Projection)</t>
  </si>
  <si>
    <t>Average Annual CPI and WPI Index</t>
  </si>
  <si>
    <t>132 Rafiganj-Bahupura solar ckt-1</t>
  </si>
  <si>
    <t>132 KV Darbhanga- Madhubani ckt-1</t>
  </si>
  <si>
    <t>132 KV Darbhanga- Madhubani ckt-2</t>
  </si>
  <si>
    <t>132KV Phulparas-Jainagar</t>
  </si>
  <si>
    <t>132 kV Jainagar-Jhanjharpur (LILO)</t>
  </si>
  <si>
    <t>132KV Jhanjharpur (LILO)-Phulparas</t>
  </si>
  <si>
    <t xml:space="preserve"> 132 KV Pandaul-Phulparas ckt-1 </t>
  </si>
  <si>
    <t xml:space="preserve"> 132 KV Pandaul-Phulparas ckt-2</t>
  </si>
  <si>
    <t>132 KV Chandauti-gaurichak</t>
  </si>
  <si>
    <t>132KV Chandauti-Belaganj</t>
  </si>
  <si>
    <t>132 KV jehanabad-Masaurhi</t>
  </si>
  <si>
    <t>132 KV Masaurhi-Gaurichak</t>
  </si>
  <si>
    <t>132 KV Tehta-Jehanabad</t>
  </si>
  <si>
    <t>132 KV Sherghati-Sawkala Solar plant</t>
  </si>
  <si>
    <t>132KV Biharsharif-Hulasganj</t>
  </si>
  <si>
    <t>132KV Dehri-Kerpa</t>
  </si>
  <si>
    <t>132KV Kerpa-Banjari</t>
  </si>
  <si>
    <t>132 KV Sonenagar-Sonenegar TSS</t>
  </si>
  <si>
    <t xml:space="preserve">132KV Madhepura-Saharsa </t>
  </si>
  <si>
    <t xml:space="preserve">132KV Saharsa-Sonebarsa  </t>
  </si>
  <si>
    <t>132KV Supaul-Raghopur</t>
  </si>
  <si>
    <t>132KV Raghopur-Laukhi</t>
  </si>
  <si>
    <t>132KV Supaul-Laukhi ckt-1</t>
  </si>
  <si>
    <t>132KV Forbisganj-Kataiya Ckt-I</t>
  </si>
  <si>
    <t>132KV Purnea-Khagaria New (L-23)</t>
  </si>
  <si>
    <t>132 KV Khagaria New- Khagaria OLD</t>
  </si>
  <si>
    <t>132KV Khagaria OLD-BTPS L23</t>
  </si>
  <si>
    <t>132 KV Samastipur-Darbhanga</t>
  </si>
  <si>
    <t>132 KV Samastipur-Railways TSS Samastipur S/C</t>
  </si>
  <si>
    <t>132 KV Khagaria TSS (T of BTPS-khagaria line)</t>
  </si>
  <si>
    <t>132KV (MTPS-Samastipur ckt-2)-T-connection to Turki TSS</t>
  </si>
  <si>
    <t>132KV Rosera-Hasanpur Sugar Mill S/C</t>
  </si>
  <si>
    <t>132KV Ara(PG) - Dumraon Ckt. - II</t>
  </si>
  <si>
    <t>132KV Pusauli(PG) - Mohania Ckt.</t>
  </si>
  <si>
    <t>132KV Karamnasa-Mohania Ckt-II</t>
  </si>
  <si>
    <t>132KV Bettiah-Majhauliya TSS</t>
  </si>
  <si>
    <t>132 KV Bettiah-Ramnagar</t>
  </si>
  <si>
    <t>132 KV Ramnagar-Dhanaha</t>
  </si>
  <si>
    <t>132 KV Bettiah-Dhanaha</t>
  </si>
  <si>
    <t>T point to valmikinagar</t>
  </si>
  <si>
    <t>132 KV Ramnagar-Harinagar TSS</t>
  </si>
  <si>
    <t>T from gaurichak-Mithapur T/L to  Karbighaia</t>
  </si>
  <si>
    <t>132 KV Katihar TSS (T of Purnea-Manihari line)</t>
  </si>
  <si>
    <t>132 KV Naugachia-Khagaria New</t>
  </si>
  <si>
    <t>132KV Khagaria New-BTPS</t>
  </si>
  <si>
    <t>Kahalgaon(NTPC) - Sabour Ckt.</t>
  </si>
  <si>
    <t>132KV Sabour-Jagdishpur (new)</t>
  </si>
  <si>
    <t>132KV Jagdishpur (new)-Sultanganj</t>
  </si>
  <si>
    <t>132KV Gopalganj - Mashrakh</t>
  </si>
  <si>
    <t>132KV Motipur-TSS mahwal</t>
  </si>
  <si>
    <t>132 KV Khusrupur TSS (Fatuha to khusrupur)</t>
  </si>
  <si>
    <t>132KV gaurichak-Fatuha</t>
  </si>
  <si>
    <t>132KV Fatuha-Ultratech</t>
  </si>
  <si>
    <t>132KV Ultratech-Harnaut</t>
  </si>
  <si>
    <t>132KV gaurichak- Mithapur</t>
  </si>
  <si>
    <t>T of 132 KV Nalanda-Barhi line at Rajgir</t>
  </si>
  <si>
    <t>132KV Mashrakh-Maharajganj S/C</t>
  </si>
  <si>
    <t>132KV Mashrakh - Siwan</t>
  </si>
  <si>
    <t>132KV Siwan-Siwan(new)/Raghunathpur</t>
  </si>
  <si>
    <t>132KV Chapra - Siwan(new)/Raghunathpur</t>
  </si>
  <si>
    <t>132 KV Mokama railway TSS (T of barh-hathidah at TSS)</t>
  </si>
  <si>
    <t>132 KV Benipur-Kusheshwarsthan</t>
  </si>
  <si>
    <t>132 KV Motihari-Jivdhara TSS</t>
  </si>
  <si>
    <t>132 KV Pandaul-Sakari TSS</t>
  </si>
  <si>
    <t>Total length</t>
  </si>
  <si>
    <t>No. Of transformers/
Reactors/ SVC etc (with
capacity)</t>
  </si>
  <si>
    <t>Capacity</t>
  </si>
  <si>
    <t>132/33 KV</t>
  </si>
  <si>
    <t>1X10+1X50</t>
  </si>
  <si>
    <t>1X20+1x10</t>
  </si>
  <si>
    <t>Benipur</t>
  </si>
  <si>
    <t>Biharsarif (SG)</t>
  </si>
  <si>
    <t>1X160+4X150</t>
  </si>
  <si>
    <t>Dalsinghsarai</t>
  </si>
  <si>
    <t>4X20</t>
  </si>
  <si>
    <t>1X20+1×50</t>
  </si>
  <si>
    <t>5X100</t>
  </si>
  <si>
    <t>1X160+2X150</t>
  </si>
  <si>
    <t>1X50+2X80</t>
  </si>
  <si>
    <t>Hathua</t>
  </si>
  <si>
    <t>Jagdishpur (New)</t>
  </si>
  <si>
    <t>Jainagar</t>
  </si>
  <si>
    <t>5X80</t>
  </si>
  <si>
    <t>2X20+2X50</t>
  </si>
  <si>
    <t>Karbighaya</t>
  </si>
  <si>
    <t>3X20+1X50</t>
  </si>
  <si>
    <t>Kerpa</t>
  </si>
  <si>
    <t>Khagaria(New)</t>
  </si>
  <si>
    <t>2X20+1x50</t>
  </si>
  <si>
    <t>1X150+1X160</t>
  </si>
  <si>
    <t>Sonebarsa</t>
  </si>
  <si>
    <t>Capex during the year</t>
  </si>
  <si>
    <t>Capitalisation</t>
  </si>
  <si>
    <t>Weighted average prorata rate of depreciation on addition during the year</t>
  </si>
  <si>
    <t>Maintenance spares@ 15% of  1 month O&amp;M Expense</t>
  </si>
  <si>
    <t>Approved in  MYT</t>
  </si>
  <si>
    <t>Actual R&amp;M Expenses</t>
  </si>
  <si>
    <t xml:space="preserve">Approved </t>
  </si>
  <si>
    <t>Transmission Loss</t>
  </si>
  <si>
    <t>Total ARR for BSPTCL</t>
  </si>
  <si>
    <t>Incentive (%)</t>
  </si>
  <si>
    <t>Incentive for Transmission Loss (Rs. Crore)</t>
  </si>
  <si>
    <t>Incentive for Availability</t>
  </si>
  <si>
    <t>Loss / (Gain)</t>
  </si>
  <si>
    <t>Computers, Accessories etc.</t>
  </si>
  <si>
    <t xml:space="preserve">Net Capitalization </t>
  </si>
  <si>
    <t>Less: Deposit works</t>
  </si>
  <si>
    <t>Deposit Works</t>
  </si>
  <si>
    <t>Weighted  Average Rate of Depreciation on opening</t>
  </si>
  <si>
    <t>Depreciation on opening Grant</t>
  </si>
  <si>
    <t>Depreciation on additional grant</t>
  </si>
  <si>
    <t>Gross Depreciation of GFA</t>
  </si>
  <si>
    <t>*grants includes consumer contributions/deposit works.</t>
  </si>
  <si>
    <t>FY 2015-16</t>
  </si>
  <si>
    <t>Compensation/Injuries/Dath/Damages</t>
  </si>
  <si>
    <t>Average One-year MCLR Interest rate</t>
  </si>
  <si>
    <t>STU charges</t>
  </si>
  <si>
    <t>FY 2021-22 (RE)</t>
  </si>
  <si>
    <t>FY 2022-23</t>
  </si>
  <si>
    <t>FY 2023-24</t>
  </si>
  <si>
    <t>FY 2024-25</t>
  </si>
  <si>
    <t>FY 2020-21 (Actual)</t>
  </si>
  <si>
    <t>FY 2020-21 (Audited)</t>
  </si>
  <si>
    <t xml:space="preserve">      Previous Year (FY 2020-21)</t>
  </si>
  <si>
    <t>Current Year (FY 2021-22)</t>
  </si>
  <si>
    <t>Ensuing Year (Projection)</t>
  </si>
  <si>
    <t>RE</t>
  </si>
  <si>
    <t xml:space="preserve">      Previous Year 
(FY 2020-21)</t>
  </si>
  <si>
    <t xml:space="preserve">Ensuing Year </t>
  </si>
  <si>
    <t>Ensuring Years (Projected)</t>
  </si>
  <si>
    <t>(c) Bifurcation of Fixed Assets into IDC and IEDC</t>
  </si>
  <si>
    <t>(d) Bifurcation of Fixed Assets into Depreciable and Non-depreciable assets</t>
  </si>
  <si>
    <t>Previous year (FY 2020-21)</t>
  </si>
  <si>
    <t>Current year (FY 2021-22)</t>
  </si>
  <si>
    <t>Ensuing year (FY 2023-24</t>
  </si>
  <si>
    <t>Ensuing year (FY 2024-25)</t>
  </si>
  <si>
    <t>Ensuing year (FY 2022-23)</t>
  </si>
  <si>
    <t>Current Year 
FY 2021-22</t>
  </si>
  <si>
    <t xml:space="preserve">Actual </t>
  </si>
  <si>
    <t xml:space="preserve"> charges during the year (FY 2020-21)</t>
  </si>
  <si>
    <t>Ensuing Year (Projected)</t>
  </si>
  <si>
    <t>Previous Year (FY 2020-21)</t>
  </si>
  <si>
    <t>Ensuing year (Projection)</t>
  </si>
  <si>
    <t>Apr-Sept (Actual)</t>
  </si>
  <si>
    <t>Sept-March (Est)</t>
  </si>
  <si>
    <t>Return on Equity (Rs. Crore)</t>
  </si>
  <si>
    <t>Others (Railway)</t>
  </si>
  <si>
    <t>Current Year
 (FY 2021-22)</t>
  </si>
  <si>
    <t>Ensuing Year 
(FY 2021-22)</t>
  </si>
  <si>
    <t>Approved in Previous MYT/RE</t>
  </si>
  <si>
    <t>Month</t>
  </si>
  <si>
    <t>WPI (new base-2011)</t>
  </si>
  <si>
    <t>WPI (old base - 2004)</t>
  </si>
  <si>
    <t>CPI (old base) - Base 2001</t>
  </si>
  <si>
    <t>CPI 2016=100</t>
  </si>
  <si>
    <t>FY 2012-13</t>
  </si>
  <si>
    <t>FY 2013-14</t>
  </si>
  <si>
    <t>FY 2014-15</t>
  </si>
  <si>
    <t>FY 2011-12</t>
  </si>
  <si>
    <t>April</t>
  </si>
  <si>
    <t>May</t>
  </si>
  <si>
    <t>June</t>
  </si>
  <si>
    <t>July</t>
  </si>
  <si>
    <t>August</t>
  </si>
  <si>
    <t>September</t>
  </si>
  <si>
    <t>October</t>
  </si>
  <si>
    <t>November</t>
  </si>
  <si>
    <t>December</t>
  </si>
  <si>
    <t>January</t>
  </si>
  <si>
    <t>February</t>
  </si>
  <si>
    <t>March</t>
  </si>
  <si>
    <t>Average</t>
  </si>
  <si>
    <t>FY 2021-22-Moving</t>
  </si>
  <si>
    <t>CPI Old base</t>
  </si>
  <si>
    <t>CPI New base</t>
  </si>
  <si>
    <t>WPI - Old base</t>
  </si>
  <si>
    <t>WPI new Base</t>
  </si>
  <si>
    <t xml:space="preserve">CPI </t>
  </si>
  <si>
    <t>WPI</t>
  </si>
  <si>
    <t>CPI:WPI::50:50</t>
  </si>
  <si>
    <t>Contribution to CM Relief Fund-Company</t>
  </si>
  <si>
    <t>Loss Due to Cyclon/Flood/Theft</t>
  </si>
  <si>
    <t>BSPTCL-HQ</t>
  </si>
  <si>
    <t>Trial Balance</t>
  </si>
  <si>
    <t>1-Apr-2020 to 31-Mar-2021</t>
  </si>
  <si>
    <t>Opening</t>
  </si>
  <si>
    <t>Transactions</t>
  </si>
  <si>
    <t>Closing</t>
  </si>
  <si>
    <t>Balance</t>
  </si>
  <si>
    <t>Debit</t>
  </si>
  <si>
    <t>Credit</t>
  </si>
  <si>
    <t>Capital Account</t>
  </si>
  <si>
    <t>Fixed Assets</t>
  </si>
  <si>
    <t>Accumulated Depreciation</t>
  </si>
  <si>
    <t>Capital Expenditure in Progress</t>
  </si>
  <si>
    <t>Cap WIP- IRF</t>
  </si>
  <si>
    <t>WIP-Consultancy Charges(SAMAST)(115/PR/BSPTCL/2018)</t>
  </si>
  <si>
    <t>Fixed Assets (Gross Block)</t>
  </si>
  <si>
    <t>Intangibal Assets</t>
  </si>
  <si>
    <t>Samast</t>
  </si>
  <si>
    <t>Current Assets</t>
  </si>
  <si>
    <t>Trade receivables</t>
  </si>
  <si>
    <t>ECR Hajipur-SLDC Op.Chrg</t>
  </si>
  <si>
    <t>East Central Railway, Hajipur</t>
  </si>
  <si>
    <t>NBPDCL-SLDC</t>
  </si>
  <si>
    <t>SBPDCL-SLDC</t>
  </si>
  <si>
    <t>ACME (Magadh Solar Power Pvt. Ltd.)</t>
  </si>
  <si>
    <t>ACME (Nalanda Solar Power Pvt. Ltd.)</t>
  </si>
  <si>
    <t>Alfa Infraprop Pvt. Ltd.</t>
  </si>
  <si>
    <t>Avantika Contractor (I) Ltd.</t>
  </si>
  <si>
    <t>Azure Power Eris Pvt. Ltd. (Murera Ramnagar)</t>
  </si>
  <si>
    <t>Bharat Sugar Mill, Gopalganj</t>
  </si>
  <si>
    <t>Bihar Distillers &amp; Bottelers Pvt. Ltd.</t>
  </si>
  <si>
    <t>Bihar State Hydro Power Corporation</t>
  </si>
  <si>
    <t>GLAT SPP, NAWADA</t>
  </si>
  <si>
    <t>Harinagar Sugar Mill, Ramnagar</t>
  </si>
  <si>
    <t>Hasanpur Sugar Mill, Magadh Sugar &amp; Energy Ltd.</t>
  </si>
  <si>
    <t>HPCL Biofuel Lauriya, Ramnagar</t>
  </si>
  <si>
    <t>HPCL Biofuel Sagauti Motihari</t>
  </si>
  <si>
    <t>KBUNL Muzaffarpur</t>
  </si>
  <si>
    <t>New Swadeshi Sugal Mill, Ramnagar</t>
  </si>
  <si>
    <t>NTPC Barauni</t>
  </si>
  <si>
    <t>Response Renewal Energy Ltd</t>
  </si>
  <si>
    <t>Riga Sugar Mill, Sitamarhi</t>
  </si>
  <si>
    <t>Siddhashra Rice Mill Cluster Pvt. Ltd.</t>
  </si>
  <si>
    <t>Sunmark Energy Project Ltd.</t>
  </si>
  <si>
    <t>Tirupati Sugar Mill, West Champaran</t>
  </si>
  <si>
    <t>Udipta Energy Equipment Pvt. Ltd.</t>
  </si>
  <si>
    <t>Welsun/walehan Solar Bh Ltd. (P-I)</t>
  </si>
  <si>
    <t>Welsun/walehan Solar Bh Ltd. (P-II)</t>
  </si>
  <si>
    <t>Welsun/walehan Solar Bh Ltd. (P-III)</t>
  </si>
  <si>
    <t>Canara Bank (SLDC)</t>
  </si>
  <si>
    <t>Canara Bank SLDC-Deviation Charge</t>
  </si>
  <si>
    <t>Canara Bank-SLDC (PSDF and Other Charges) A/c</t>
  </si>
  <si>
    <t>Canara Bank SLDC-Reactive Enery</t>
  </si>
  <si>
    <t>Canara Bank- SLDC (Saving A/c)</t>
  </si>
  <si>
    <t>Canara Bank- SLDC (Sweep A/c)</t>
  </si>
  <si>
    <t>Direct Incomes</t>
  </si>
  <si>
    <t>SLDC Income</t>
  </si>
  <si>
    <t>SLDC CHARGES FROM - NBPDCL</t>
  </si>
  <si>
    <t>SLDC CHARGES FROM SBPDCL</t>
  </si>
  <si>
    <t>SLDC Operating Charges</t>
  </si>
  <si>
    <t>SLDC OPERATING CHARGES-HAJIPUR</t>
  </si>
  <si>
    <t>SLDC Operating Chrages-NBPDCL</t>
  </si>
  <si>
    <t>SLDC Operating Chrages-SBPDCL</t>
  </si>
  <si>
    <t>Indirect Incomes</t>
  </si>
  <si>
    <t>Other SLDC Income</t>
  </si>
  <si>
    <t>SLDC Charges form Sujeet Khhad Bhandar</t>
  </si>
  <si>
    <t>SLDC Charges From Bihar Cement</t>
  </si>
  <si>
    <t>Sldc Charges From ITC Ltd.</t>
  </si>
  <si>
    <t>SLDC Charges From New Bihar Cement</t>
  </si>
  <si>
    <t>SLDC Charges From Ultratech Cement Ltd.</t>
  </si>
  <si>
    <t>Interest From Banks</t>
  </si>
  <si>
    <t>Direct Expenses</t>
  </si>
  <si>
    <t>Telephone Expenses</t>
  </si>
  <si>
    <t>Other Allowances</t>
  </si>
  <si>
    <t>Terminal Benefits</t>
  </si>
  <si>
    <t>Other Expenses</t>
  </si>
  <si>
    <t>A&amp;G</t>
  </si>
  <si>
    <t>Electricity &amp; Power Charges</t>
  </si>
  <si>
    <t>R&amp;M</t>
  </si>
  <si>
    <t>Misc Expenses</t>
  </si>
  <si>
    <t>Books and Periodicals</t>
  </si>
  <si>
    <t>Fees and Subscriptions</t>
  </si>
  <si>
    <t>Repair and Maintenance</t>
  </si>
  <si>
    <t>R&amp;M of Office Equipments</t>
  </si>
  <si>
    <t>Indirect Expenses</t>
  </si>
  <si>
    <t>Finance Cost</t>
  </si>
  <si>
    <t>Other Interest and Finance charges</t>
  </si>
  <si>
    <t>Bank Charges</t>
  </si>
  <si>
    <t>Non-Current Assets</t>
  </si>
  <si>
    <t>Financial Assets</t>
  </si>
  <si>
    <t>Loans to Staff</t>
  </si>
  <si>
    <t>Tablet Advance</t>
  </si>
  <si>
    <t>Land &amp; Land Rights</t>
  </si>
  <si>
    <t>Hydraulic Works</t>
  </si>
  <si>
    <t>Other Civil Works</t>
  </si>
  <si>
    <t>Lines and Cable Network</t>
  </si>
  <si>
    <t>Office Equipment</t>
  </si>
  <si>
    <t>Computers &amp; Accessories</t>
  </si>
  <si>
    <t>Total other than Land &amp; Land Rights</t>
  </si>
  <si>
    <t>Average rate of Depreciation in (%)</t>
  </si>
  <si>
    <t>Rate of Depreciation</t>
  </si>
  <si>
    <t>Opening Balance</t>
  </si>
  <si>
    <t>Depreciation for the year</t>
  </si>
  <si>
    <t>Depreciation charged on addition</t>
  </si>
  <si>
    <t>Loan from Financial Institute</t>
  </si>
  <si>
    <t>Loan from ADB</t>
  </si>
  <si>
    <t>Amount Outstanding</t>
  </si>
  <si>
    <t xml:space="preserve">Weighted Average Rate of Interest </t>
  </si>
  <si>
    <t>[</t>
  </si>
  <si>
    <t xml:space="preserve">Name of line </t>
  </si>
  <si>
    <t>Single</t>
  </si>
  <si>
    <t xml:space="preserve">132KV Rafiganj-Rafiganj TSS </t>
  </si>
  <si>
    <t>Double</t>
  </si>
  <si>
    <t>132KV Darbhangha(old)-Gangwara Ckt-3</t>
  </si>
  <si>
    <t xml:space="preserve">132 kV Sonebarsa-Kusheshwarsthan </t>
  </si>
  <si>
    <t xml:space="preserve">132KV Madhubani-Pandaul </t>
  </si>
  <si>
    <t xml:space="preserve">132 KV Bodhgaya-Chandauti (Line-I) </t>
  </si>
  <si>
    <t xml:space="preserve">132 KV Bodhgaya-Chandauti (Line-II) </t>
  </si>
  <si>
    <t>132 KV Belaganj-Tehta</t>
  </si>
  <si>
    <t xml:space="preserve">132KV Jehanabad-Ataula </t>
  </si>
  <si>
    <t xml:space="preserve">132KV  Bodhgaya-Paharpur TSS </t>
  </si>
  <si>
    <t xml:space="preserve">132KV Goh-Ataula </t>
  </si>
  <si>
    <t xml:space="preserve">132KV Dehri-Sonenagar </t>
  </si>
  <si>
    <t xml:space="preserve">132KV Banjari-Sasaram </t>
  </si>
  <si>
    <t xml:space="preserve">132KV Sonenagar -Aurangabad </t>
  </si>
  <si>
    <t>132KV Sonenagar-Japla-Garwa-Rihand ckt-11</t>
  </si>
  <si>
    <t xml:space="preserve">132 KV Sonenagar (old)-Japala TSS </t>
  </si>
  <si>
    <t xml:space="preserve">132KV Saharsa-Udakishanganj </t>
  </si>
  <si>
    <t xml:space="preserve">132KV Sonebarsa-Uda Kishanganj </t>
  </si>
  <si>
    <t xml:space="preserve">132KV Supaul-Madhepura </t>
  </si>
  <si>
    <t>132KV Madhepura-Saharsa Ckt-2</t>
  </si>
  <si>
    <t xml:space="preserve">132 KV Madhepura-Rail Engine Factory </t>
  </si>
  <si>
    <t xml:space="preserve">132KV Kusheshwarshtan-Sonebarsa </t>
  </si>
  <si>
    <t xml:space="preserve">132KV Kataiya-Supaul </t>
  </si>
  <si>
    <t>132KV Forbisganj-Kataiya</t>
  </si>
  <si>
    <t xml:space="preserve">132KV Muzaffarpur- Vaishali </t>
  </si>
  <si>
    <t xml:space="preserve">132KV Hajipur(new) - Hajipur(old) </t>
  </si>
  <si>
    <t>132KV Lakhisarai(PG) - Jamui</t>
  </si>
  <si>
    <t xml:space="preserve">132KV Jamui-Jhajha TSS </t>
  </si>
  <si>
    <t xml:space="preserve">132KV Sheikhpura-Jamui </t>
  </si>
  <si>
    <t xml:space="preserve">132KV Jamui-Jamui(new) </t>
  </si>
  <si>
    <t xml:space="preserve">132KV  Jamui(New)-Banka(New) </t>
  </si>
  <si>
    <t xml:space="preserve">132KV Lakhisarai-Jamalpur(new)BGCL </t>
  </si>
  <si>
    <t xml:space="preserve">132KV Lakhisarai(PG) - Lakhisarai </t>
  </si>
  <si>
    <t xml:space="preserve">132KV Samastipur(new)- Samastipur </t>
  </si>
  <si>
    <t xml:space="preserve">132KV MTPS-Samastipur </t>
  </si>
  <si>
    <t xml:space="preserve">132KV BTPS-Begusarai </t>
  </si>
  <si>
    <t xml:space="preserve">132KV Begusarai-Kuseswarsthan </t>
  </si>
  <si>
    <t xml:space="preserve">132KV Dumroan-Buxar </t>
  </si>
  <si>
    <t xml:space="preserve">132KV Ara-Jagdishpur </t>
  </si>
  <si>
    <t xml:space="preserve">132KV Ara(PG) - Jagdaishpur </t>
  </si>
  <si>
    <t xml:space="preserve">132KV Bettiah - Raxaul </t>
  </si>
  <si>
    <t xml:space="preserve">132KV DMTCL(Motihari) - Raxaul </t>
  </si>
  <si>
    <t xml:space="preserve">132KV DMTCL(Motihari) - Motihari </t>
  </si>
  <si>
    <t xml:space="preserve">132KV Motihari - Dhaka </t>
  </si>
  <si>
    <t xml:space="preserve">132KV DMTCL(Motihari) - Bettiah </t>
  </si>
  <si>
    <t xml:space="preserve">132KV gaurichak- Jakkanpur </t>
  </si>
  <si>
    <t xml:space="preserve">132KV Khagaul-Digha </t>
  </si>
  <si>
    <t xml:space="preserve">132KV Bihta(new)-Bihta(old) </t>
  </si>
  <si>
    <t xml:space="preserve">132KV Khagaul-Bihta </t>
  </si>
  <si>
    <t xml:space="preserve">132KV Kishanganj(New)-Forbisganj </t>
  </si>
  <si>
    <t xml:space="preserve">132KV Kishanganj(New)-Kishanganj </t>
  </si>
  <si>
    <t xml:space="preserve">132KV Purnea(PG) - Purnea </t>
  </si>
  <si>
    <t>132KV Banka(PG) - Sabour</t>
  </si>
  <si>
    <t xml:space="preserve">132 KV Kahalgaon-GIS Goradih) </t>
  </si>
  <si>
    <t xml:space="preserve">132 KV  Sultanganj-Jamalpur(New) </t>
  </si>
  <si>
    <t xml:space="preserve">132KV Banka(PG) - Sultanganj </t>
  </si>
  <si>
    <t>132 KV Goradih (loc no. 88)-Sultanganj</t>
  </si>
  <si>
    <t xml:space="preserve">132KV Mushahri-SKMCH </t>
  </si>
  <si>
    <t xml:space="preserve">132KV MTPS-SKMCH </t>
  </si>
  <si>
    <t xml:space="preserve">132KV Mushahri-Sitamarhi </t>
  </si>
  <si>
    <t>132KV MTPS-Motipur Ckt-1</t>
  </si>
  <si>
    <t>132KV MTPS-Motipur Ckt-2</t>
  </si>
  <si>
    <t>132KV Motipur-Muzaffarpur Ckt-1</t>
  </si>
  <si>
    <t>132KV Motipur-Muzaffarpur Ckt-2</t>
  </si>
  <si>
    <t xml:space="preserve">132KV Biharsarif (SG)-Baripahari </t>
  </si>
  <si>
    <t xml:space="preserve">132KV Biharsarif (SG)-Sheikhpura </t>
  </si>
  <si>
    <t xml:space="preserve">132KV Masrakh-Marharura DLF </t>
  </si>
  <si>
    <t xml:space="preserve">132 KV Hathidah (BGCL)-Hathidah </t>
  </si>
  <si>
    <t xml:space="preserve">132 KV Rosera-Hasanpur TSS </t>
  </si>
  <si>
    <t xml:space="preserve">132 KV Banka(New)-Banka </t>
  </si>
  <si>
    <t xml:space="preserve">132 Kv Banka(PG)-Banka </t>
  </si>
  <si>
    <t>132 KV Nalanda-Nalanda TSS</t>
  </si>
  <si>
    <t>132 KV Narkatiyaganj-Raxaul TSS</t>
  </si>
  <si>
    <t>132KV Sitamahi (PG)-Runnisaidpur</t>
  </si>
  <si>
    <t>132KV Runnisaidpur-Bajpatti TSS</t>
  </si>
  <si>
    <t>132KV Mashrakh-Rajpatti TSS</t>
  </si>
  <si>
    <t>220KV Biharsarif (PG) - Biharsarif</t>
  </si>
  <si>
    <t>Quadruple</t>
  </si>
  <si>
    <t>220KV Biharsarif - Khizisarai(BGCL)</t>
  </si>
  <si>
    <t>220KV Khizisarai(BGCL) - Bodhgaya</t>
  </si>
  <si>
    <t>220KV Biharsarif - Fathua</t>
  </si>
  <si>
    <t>220KV Gaya (PG) - Bodhgaya</t>
  </si>
  <si>
    <t>220KV Gaya (PG) - Dehri</t>
  </si>
  <si>
    <t>220KV Pusouli(PG) - Dehri</t>
  </si>
  <si>
    <t>220KV Pusouli - Sahupuri (UP)</t>
  </si>
  <si>
    <t>220KV Patna (PG ) - Sipara(Line 1&amp;2)</t>
  </si>
  <si>
    <t>220KV Patna (PG) - Fatuha</t>
  </si>
  <si>
    <t>220 KV Sipara - Fatuha</t>
  </si>
  <si>
    <t>220 KV Patna (PG) - Khagaul</t>
  </si>
  <si>
    <t>220KV Sipara - Khagaul</t>
  </si>
  <si>
    <t>220KV Sipara-Bihta</t>
  </si>
  <si>
    <t>220KV Biharsarif - TTPS</t>
  </si>
  <si>
    <t>220KV Chandauti(PG)- Sonenagar</t>
  </si>
  <si>
    <t>220KV Pusauli(PG)-Nadokar ckt-1</t>
  </si>
  <si>
    <t>220KV Pusauli(PG)-Nadokar ckt-2</t>
  </si>
  <si>
    <t>220KV Ara(PG)-Nadokar ckt-1</t>
  </si>
  <si>
    <t>220KV Ara(PG)-Nadokar ckt-2</t>
  </si>
  <si>
    <t>220KV Patna (PG ) - Sipara ckt-3</t>
  </si>
  <si>
    <t>220KV BTPS - Begusarai</t>
  </si>
  <si>
    <t>220KV BTPS-Hathidah BGCL</t>
  </si>
  <si>
    <t>220KV Hathidah BGCL-Biharsharif</t>
  </si>
  <si>
    <r>
      <rPr>
        <sz val="10"/>
        <color rgb="FF0C0C0C"/>
        <rFont val="Times New Roman"/>
        <family val="1"/>
      </rPr>
      <t>220kV MTPS-Samastipur(New)(LILO
at loc. 241)</t>
    </r>
  </si>
  <si>
    <r>
      <rPr>
        <sz val="10"/>
        <color rgb="FF0C0C0C"/>
        <rFont val="Times New Roman"/>
        <family val="1"/>
      </rPr>
      <t>220 kV Samastipur(New)-
Begusarai(LILO at loc. 239)</t>
    </r>
  </si>
  <si>
    <t>220KV MTPS - Gopalganj</t>
  </si>
  <si>
    <t>220KV MTPS - Motipur</t>
  </si>
  <si>
    <t>220KV  Motipur-Mushahri ckt-I</t>
  </si>
  <si>
    <t>220KV  Motipur-Mushahri ckt-II</t>
  </si>
  <si>
    <t>220KV Mushahri - Darbhanga ckt-I</t>
  </si>
  <si>
    <t>220KV Mushahri  - Darbhanga ckt-II</t>
  </si>
  <si>
    <t>220KV Purnea (PG) - Madhepura</t>
  </si>
  <si>
    <t>220KV Muzaffarpur (PG) - Hazipur</t>
  </si>
  <si>
    <t>220 KV Kishanganj (PG)-Kishanganj(New) L-1</t>
  </si>
  <si>
    <t>220 KV Kishanganj (PG)-Kishanganj(New) L-2</t>
  </si>
  <si>
    <t>220KV DMTCL(Darbhanga)-Samastipur(New)</t>
  </si>
  <si>
    <t>220KV Darbhanga(DMTCL)-Motipur</t>
  </si>
  <si>
    <t>220KV Darbhanga(DMTCL)-Laukahi</t>
  </si>
  <si>
    <t>220KV Madhepura-Laukahi</t>
  </si>
  <si>
    <t>220KV Darbhanga(DMTCL)-Darbhanga</t>
  </si>
  <si>
    <t>220KV Purnea (PG) - Khagaria New</t>
  </si>
  <si>
    <t>220KV Khagaria(New)-Begusarai</t>
  </si>
  <si>
    <t>220KV BTPS - Hajipur</t>
  </si>
  <si>
    <t>220KV Kishanganj (New)-Madhepura</t>
  </si>
  <si>
    <t>220KV Sitamarhi (PG)-Motipur</t>
  </si>
  <si>
    <t>Banka(New)</t>
  </si>
  <si>
    <t>Banka(old)</t>
  </si>
  <si>
    <t>Banmanki</t>
  </si>
  <si>
    <t>Bhabhua(Mundeshwari)</t>
  </si>
  <si>
    <t>Bihta</t>
  </si>
  <si>
    <t>Bihta(New)</t>
  </si>
  <si>
    <t>Darbhanga ( 132KV)</t>
  </si>
  <si>
    <t>Darbhanga (220KV)</t>
  </si>
  <si>
    <t>Forbisganj</t>
  </si>
  <si>
    <t>Gangawara</t>
  </si>
  <si>
    <t>Hazipur (132KV)</t>
  </si>
  <si>
    <t>Hazipur (220KV)</t>
  </si>
  <si>
    <t>Jamui(New)</t>
  </si>
  <si>
    <t>Karamnasa</t>
  </si>
  <si>
    <t>Kataiya, Birpur</t>
  </si>
  <si>
    <t>Kishanganj</t>
  </si>
  <si>
    <t>Kishanganj (New)</t>
  </si>
  <si>
    <t>Kuseswarstan</t>
  </si>
  <si>
    <t>Laukhi</t>
  </si>
  <si>
    <t>Mushahri</t>
  </si>
  <si>
    <t>Mushrakh</t>
  </si>
  <si>
    <t>Phoolparas</t>
  </si>
  <si>
    <t>Pusouli</t>
  </si>
  <si>
    <t>Runisaidpur</t>
  </si>
  <si>
    <t>Samastipur(220kV)</t>
  </si>
  <si>
    <t>Simri Bakhtiyarpur</t>
  </si>
  <si>
    <t>Siwan(New)</t>
  </si>
  <si>
    <t>Sonenagar(New)</t>
  </si>
  <si>
    <t>Sonenagar(Old)</t>
  </si>
  <si>
    <t>Supoul</t>
  </si>
  <si>
    <t>Thakarahan/Dhanaha</t>
  </si>
  <si>
    <t>Wajirganj</t>
  </si>
  <si>
    <t>Warsaliganj</t>
  </si>
  <si>
    <t>220/132 KV</t>
  </si>
  <si>
    <t>1x160+1X200</t>
  </si>
  <si>
    <t>3x200+1x100</t>
  </si>
  <si>
    <t>3x160</t>
  </si>
  <si>
    <t>1X20+1x50</t>
  </si>
  <si>
    <t>2x20</t>
  </si>
  <si>
    <t>1x20+2X50</t>
  </si>
  <si>
    <t>1X20+2×50</t>
  </si>
  <si>
    <t xml:space="preserve">Annual Transmission Charges </t>
  </si>
  <si>
    <t>Deffered Income</t>
  </si>
  <si>
    <t>SI.NO</t>
  </si>
  <si>
    <t>Basis</t>
  </si>
  <si>
    <t>Sharing of Gains/Losses for FY 2020-21</t>
  </si>
  <si>
    <t>Sharing of Losses / Gains on O&amp;M expenses</t>
  </si>
  <si>
    <t>Normative expenses</t>
  </si>
  <si>
    <t>Actual expenses</t>
  </si>
  <si>
    <t>Gains/(losses)</t>
  </si>
  <si>
    <t>Gains to be passed on through adjustment in Tariff</t>
  </si>
  <si>
    <t>Losses to be passed on as adjustment in Tariff</t>
  </si>
  <si>
    <t>Net sharing ganis/losses</t>
  </si>
  <si>
    <t>C=A-B</t>
  </si>
  <si>
    <t>D=2/3*C</t>
  </si>
  <si>
    <t>E=1/3*C</t>
  </si>
  <si>
    <t>Claimed in True up</t>
  </si>
  <si>
    <t>Normative Interest on Working Capital</t>
  </si>
  <si>
    <t>Actual Interest on Working Capital</t>
  </si>
  <si>
    <t>Interest on Working Capital gains/ (losses)</t>
  </si>
  <si>
    <t>2/3rd of gain to be passed through as an adjustment in Tariff</t>
  </si>
  <si>
    <t>Sharing of Losses / Gains on Incentives on Transmission losses</t>
  </si>
  <si>
    <t>1/3rd of gains to be retained by the Licensee</t>
  </si>
  <si>
    <t>D=1/3*C</t>
  </si>
  <si>
    <t>E=2/3*C</t>
  </si>
  <si>
    <t>Incentives on reduction in Transmission losses</t>
  </si>
  <si>
    <t>1/3rd of gains to be on account of Licensee</t>
  </si>
  <si>
    <t>2/3rd of gains to be passed-on as adjustment through Tariff</t>
  </si>
  <si>
    <t>B=1/3*A</t>
  </si>
  <si>
    <t>C=2/3*A</t>
  </si>
  <si>
    <t>Sharing of Losses / Gains on Incentives on Transmission Availability Factor</t>
  </si>
  <si>
    <t>Incentives on Transmission Availability Factor</t>
  </si>
  <si>
    <t>Sharing of Losses / Gains on Interest on Working Capital Requirement</t>
  </si>
  <si>
    <t>Incentive for Transmission Availability</t>
  </si>
  <si>
    <t>Incentive for Transmission Losses</t>
  </si>
  <si>
    <t>Sharing of Losses/(Gains) on O&amp;M expenses</t>
  </si>
  <si>
    <t>Sharing of Losses/(Gains) on Interest on Working Capital</t>
  </si>
  <si>
    <t>Sharing of Losses/(Gains) on Incentives on reduction in Transmission losses</t>
  </si>
  <si>
    <t>Sharing of Losses/(Gains) on Incentives on Transmission Availability Factor</t>
  </si>
  <si>
    <t>Interest for FY 2020-21 [(SBI MCLR 7.05%+1.5%) @8.55%]] for  6 months</t>
  </si>
  <si>
    <t>Interest for FY 2021-22 [(SBI MCLR 7.00%+1.5%) @8.5%]] for 1 year</t>
  </si>
  <si>
    <t>Interest for FY 2022-23 [(SBI MCLR 7.00%+1.5%) @8.50%] for 6 months</t>
  </si>
  <si>
    <t>Computation of base value of employee cost norm</t>
  </si>
  <si>
    <t>Transmission line in Ckt KM</t>
  </si>
  <si>
    <t>No. of substations</t>
  </si>
  <si>
    <t>number of personnel per ckt/km (55%)</t>
  </si>
  <si>
    <t>number of personal per substation (45%)</t>
  </si>
  <si>
    <t>Employee cost (Including SLDC)</t>
  </si>
  <si>
    <t>Less: SLDC Cost</t>
  </si>
  <si>
    <t>Employee cost</t>
  </si>
  <si>
    <t>Annual expenses per personnel
(Rs. Lakh)</t>
  </si>
  <si>
    <t>Base year- FY 2021-22</t>
  </si>
  <si>
    <t>13-14</t>
  </si>
  <si>
    <t>14-15</t>
  </si>
  <si>
    <t>15-16</t>
  </si>
  <si>
    <t>16-17</t>
  </si>
  <si>
    <t>17-18</t>
  </si>
  <si>
    <t>18-19</t>
  </si>
  <si>
    <t>19-20</t>
  </si>
  <si>
    <t>20-21</t>
  </si>
  <si>
    <t>CAGR</t>
  </si>
  <si>
    <t>Annual expenses per personnel
(Rs. Crore)</t>
  </si>
  <si>
    <t>Computation of base value of A&amp;G Expenses norm</t>
  </si>
  <si>
    <t>A &amp; G Expenses (Including SLDC)</t>
  </si>
  <si>
    <t>Less: SLDC</t>
  </si>
  <si>
    <t>A &amp; G Expenses per personal (55%) (Rs. Crore)</t>
  </si>
  <si>
    <t>A &amp; G Expenses per substation (45%) (Rs. Crore)</t>
  </si>
  <si>
    <t>A &amp; G Expenses per personal (55%) (Rs. Lakh)</t>
  </si>
  <si>
    <t>A &amp; G Expenses per substation (45%) (Rs. Lakh)</t>
  </si>
  <si>
    <t>Apr-March (Estimated)</t>
  </si>
  <si>
    <t>Computation of K factor for R&amp;M Expenses</t>
  </si>
  <si>
    <t>Opening GFA</t>
  </si>
  <si>
    <t>Less: Opening value of Land</t>
  </si>
  <si>
    <t>% of R&amp;M expenses to GFA (4/3)*100</t>
  </si>
  <si>
    <t>Average % of R&amp;M expenses to GFA – ‘K’ factor</t>
  </si>
  <si>
    <t>Net opening GFA (1-2)</t>
  </si>
  <si>
    <t>Previous Year 
(FY 2020-21)</t>
  </si>
  <si>
    <t>Weighted Average Rate of Interest</t>
  </si>
  <si>
    <t>Gap/(Surplus) before tariff revision impact (A-D)</t>
  </si>
  <si>
    <t>Revenue Gap/(Surplus) in true up for FY 2020-21</t>
  </si>
  <si>
    <t>Revenue Gap/(surplus) in APR for FY 2021-22</t>
  </si>
  <si>
    <t>Total Revenue Gap/(surplus) in APR of FY 2021-22</t>
  </si>
  <si>
    <t>FY 2020-22</t>
  </si>
  <si>
    <t>FY 2020-23</t>
  </si>
  <si>
    <t>93,03,074</t>
  </si>
  <si>
    <t xml:space="preserve">Transmission Charges for Short Term Open Access Consumer </t>
  </si>
  <si>
    <t>Total Gap/(Surplus) to be adjusted in ARR of FY 2020-21</t>
  </si>
  <si>
    <t>132/33 KV Mohania</t>
  </si>
  <si>
    <t>132/33 KV Ramgarh</t>
  </si>
  <si>
    <t>DumraoN New(BGCL)</t>
  </si>
  <si>
    <t>132 KV Supaul</t>
  </si>
  <si>
    <t>132/33 KV Udakishenganj</t>
  </si>
  <si>
    <t>132/33 KV Jamui(New)</t>
  </si>
  <si>
    <t>FY 2021-22(upto Sep_21)</t>
  </si>
  <si>
    <t>FY 2022-23(Projected)</t>
  </si>
  <si>
    <t>FY 2023-24(Projected)</t>
  </si>
  <si>
    <t>FY 2024-25(Projected)</t>
  </si>
  <si>
    <t>Incentive on Transmission Losses</t>
  </si>
  <si>
    <t>Sharing of Losses/(Gains)</t>
  </si>
  <si>
    <t>80:20</t>
  </si>
  <si>
    <t>70:30</t>
  </si>
  <si>
    <t>(c) Value of Depreciation Charges (Rs. Crore)</t>
  </si>
  <si>
    <t>MCLR+0.10%</t>
  </si>
  <si>
    <t>2022-23</t>
  </si>
  <si>
    <t>2023-24</t>
  </si>
  <si>
    <t>(e) Details of Loans for the year</t>
  </si>
  <si>
    <t>2024-25</t>
  </si>
  <si>
    <t>All Capex Schemes</t>
  </si>
  <si>
    <t>FY 2021-22 (H1)</t>
  </si>
  <si>
    <t>Form No. P1</t>
  </si>
  <si>
    <t>11887:46:00</t>
  </si>
  <si>
    <r>
      <t>Total Energy delivered by generating Stations and Inter State / Intra State tie - links at the interface points of the Intra State Transmission system -</t>
    </r>
    <r>
      <rPr>
        <b/>
        <sz val="13"/>
        <color indexed="8"/>
        <rFont val="Bookman Old Style"/>
        <family val="1"/>
      </rPr>
      <t xml:space="preserve">As recieved from Energy Accounting </t>
    </r>
  </si>
  <si>
    <r>
      <t>sum of all the energy delivered at this voltage level to the state Distribution System-</t>
    </r>
    <r>
      <rPr>
        <b/>
        <sz val="13"/>
        <color indexed="8"/>
        <rFont val="Bookman Old Style"/>
        <family val="1"/>
      </rPr>
      <t xml:space="preserve"> From energy meter readings in GSS</t>
    </r>
  </si>
  <si>
    <r>
      <t xml:space="preserve">Note: 
</t>
    </r>
    <r>
      <rPr>
        <sz val="11"/>
        <rFont val="Bookman Old Style"/>
        <family val="1"/>
      </rPr>
      <t>State Transmission loss accounting has been done on the basis of ABT meter data which is communicated to SLDC via AMR system under SAMAST. For a few places, where ABT meters are not installed or some issues observed in ABT meter data, energy filled manually as per the analysis of information provided by GSS users and secure team.</t>
    </r>
  </si>
  <si>
    <r>
      <t xml:space="preserve">Note: </t>
    </r>
    <r>
      <rPr>
        <sz val="11"/>
        <rFont val="Bookman Old Style"/>
        <family val="1"/>
      </rPr>
      <t xml:space="preserve">
State Transmission loss accounting has been done on the basis of ABT meter data which is communicated to SLDC via AMR system under SAMAST. For a few places, where ABT meters are not installed or some issues observed in ABT meter data, energy filled manually as per the analysis of information provided by GSS users and secure team.</t>
    </r>
  </si>
  <si>
    <t xml:space="preserve">220 kV </t>
  </si>
  <si>
    <t>132 kV</t>
  </si>
  <si>
    <t>3X150 MVA</t>
  </si>
  <si>
    <t>1X20 MVA</t>
  </si>
  <si>
    <t>Licensee wise Load shedding carried out during the year</t>
  </si>
  <si>
    <t>Form No: P8</t>
  </si>
  <si>
    <t>NBPDCL</t>
  </si>
  <si>
    <t>Load shedding during the Year (In Hrs.)</t>
  </si>
  <si>
    <t>On SLDC's instructions</t>
  </si>
  <si>
    <t>To control excess drawal</t>
  </si>
  <si>
    <t>29 hrs</t>
  </si>
  <si>
    <t>31 hrs</t>
  </si>
  <si>
    <t>To control equipment damage</t>
  </si>
  <si>
    <t>4 hrs</t>
  </si>
  <si>
    <t>Under force majeure conditions</t>
  </si>
  <si>
    <t>37 hrs</t>
  </si>
  <si>
    <t>Due to maintenance or outage of own network</t>
  </si>
  <si>
    <t>11 hrs</t>
  </si>
  <si>
    <t>6 hrs</t>
  </si>
  <si>
    <t>Any other reason</t>
  </si>
  <si>
    <t>78 hrs</t>
  </si>
  <si>
    <t>89 hrs</t>
  </si>
  <si>
    <t>Total load shedding  for the Year</t>
  </si>
  <si>
    <t>33 hrs</t>
  </si>
  <si>
    <t>32 hrs</t>
  </si>
  <si>
    <t>903 hrs</t>
  </si>
  <si>
    <t>80 hrs</t>
  </si>
  <si>
    <t>113 hrs</t>
  </si>
  <si>
    <t>7 hrs</t>
  </si>
  <si>
    <t>FY April 2021-22 (Upto September 2021)</t>
  </si>
  <si>
    <t>16 hrs</t>
  </si>
  <si>
    <t>15 hrs</t>
  </si>
  <si>
    <t>2 hrs</t>
  </si>
  <si>
    <t>135 hrs</t>
  </si>
  <si>
    <t>134 hrs</t>
  </si>
  <si>
    <r>
      <rPr>
        <b/>
        <sz val="10"/>
        <rFont val="Bookman Old Style"/>
        <family val="1"/>
      </rPr>
      <t>S.
No.</t>
    </r>
  </si>
  <si>
    <t xml:space="preserve">Sr No </t>
  </si>
  <si>
    <t xml:space="preserve">GSS </t>
  </si>
  <si>
    <t>Transformer capacity (MVA)</t>
  </si>
  <si>
    <t>Rated Transformer capacity                (in MW)</t>
  </si>
  <si>
    <t>peak load  (in MW)</t>
  </si>
  <si>
    <t>% loading of transformer</t>
  </si>
  <si>
    <t>(1x50+2x20)=90</t>
  </si>
  <si>
    <t>4x20=80</t>
  </si>
  <si>
    <t>(1x50+1x20)=70</t>
  </si>
  <si>
    <t>3x20=60</t>
  </si>
  <si>
    <t>2x20=40</t>
  </si>
  <si>
    <t>2x50=100</t>
  </si>
  <si>
    <t>(2x50+1x20)=120</t>
  </si>
  <si>
    <t>3x50=150</t>
  </si>
  <si>
    <t>(3x50+1x20)=170</t>
  </si>
  <si>
    <t>Ataulla</t>
  </si>
  <si>
    <t>Bihar Sharif</t>
  </si>
  <si>
    <t xml:space="preserve">3x150=450 </t>
  </si>
  <si>
    <t xml:space="preserve">2x160=320 </t>
  </si>
  <si>
    <t>Pusauli</t>
  </si>
  <si>
    <t xml:space="preserve">(1x160+1x150)=310 </t>
  </si>
  <si>
    <t>4x100=400</t>
  </si>
  <si>
    <t>Amnour 220/132</t>
  </si>
  <si>
    <t>2x160=320</t>
  </si>
  <si>
    <t>Kishanganj New 220/132</t>
  </si>
  <si>
    <t>DMTCL (M) 400/132</t>
  </si>
  <si>
    <t>2X200=400</t>
  </si>
  <si>
    <t>Phulparas</t>
  </si>
  <si>
    <t>Kusheshwarsthan</t>
  </si>
  <si>
    <t>2x20+1x50=90</t>
  </si>
  <si>
    <t>List of  220/132 kv transformers</t>
  </si>
  <si>
    <t>List of Overloaded 132/33 kv transformers</t>
  </si>
  <si>
    <r>
      <rPr>
        <b/>
        <u/>
        <sz val="8"/>
        <rFont val="Calibri"/>
        <family val="2"/>
        <scheme val="minor"/>
      </rPr>
      <t>Failure of Transformers</t>
    </r>
  </si>
  <si>
    <r>
      <rPr>
        <b/>
        <sz val="8"/>
        <rFont val="Calibri"/>
        <family val="2"/>
        <scheme val="minor"/>
      </rPr>
      <t>S.
No.</t>
    </r>
  </si>
  <si>
    <t>FY 2021-22(As on Sep 21)</t>
  </si>
  <si>
    <t>Transformation ratio</t>
  </si>
  <si>
    <t>Total No. of Transfor mers</t>
  </si>
  <si>
    <r>
      <rPr>
        <b/>
        <sz val="8"/>
        <rFont val="Calibri"/>
        <family val="2"/>
        <scheme val="minor"/>
      </rPr>
      <t>Total Duratio n of failure
(hrs.)</t>
    </r>
  </si>
  <si>
    <r>
      <rPr>
        <b/>
        <i/>
        <sz val="8"/>
        <rFont val="Calibri"/>
        <family val="2"/>
        <scheme val="minor"/>
      </rPr>
      <t>400/220/33 KV
Transformers</t>
    </r>
  </si>
  <si>
    <r>
      <rPr>
        <b/>
        <sz val="8"/>
        <color rgb="FFD6E3BB"/>
        <rFont val="Calibri"/>
        <family val="2"/>
        <scheme val="minor"/>
      </rPr>
      <t>-</t>
    </r>
  </si>
  <si>
    <r>
      <rPr>
        <b/>
        <i/>
        <sz val="8"/>
        <rFont val="Calibri"/>
        <family val="2"/>
        <scheme val="minor"/>
      </rPr>
      <t>220/132/33KV
Transformers</t>
    </r>
  </si>
  <si>
    <t>200 MVA</t>
  </si>
  <si>
    <t>GSS Darbhanga 160 MVA ATR-01</t>
  </si>
  <si>
    <t>14 Hours 61 Minutes</t>
  </si>
  <si>
    <t>LA blast, OSR</t>
  </si>
  <si>
    <t>GSS Darbhanga 200 MVA ATR-01</t>
  </si>
  <si>
    <t>03 Hours 54 Minutes</t>
  </si>
  <si>
    <t xml:space="preserve">Bucholtz protection </t>
  </si>
  <si>
    <t>GSS Darbhanga 160 MVA ATR-02</t>
  </si>
  <si>
    <t>02 Hours 38 Minutes</t>
  </si>
  <si>
    <t>160 MVA</t>
  </si>
  <si>
    <t>GSS Bihta (new) 160 MVA T1</t>
  </si>
  <si>
    <t>3 Hrs 28 Minutes</t>
  </si>
  <si>
    <t>543 Hours 57 Minutes</t>
  </si>
  <si>
    <t>LA blast, R-phase HV side Bushing blast</t>
  </si>
  <si>
    <t>GSS Bihta (new) 160 MVA T2</t>
  </si>
  <si>
    <t>38 Minutes</t>
  </si>
  <si>
    <t>11 Hrs 20 Minutes</t>
  </si>
  <si>
    <t>100 MVA</t>
  </si>
  <si>
    <t>9 Hrs 16 Minutes</t>
  </si>
  <si>
    <r>
      <rPr>
        <b/>
        <i/>
        <sz val="8"/>
        <rFont val="Calibri"/>
        <family val="2"/>
        <scheme val="minor"/>
      </rPr>
      <t>220/132KV
Transformers</t>
    </r>
  </si>
  <si>
    <r>
      <rPr>
        <sz val="8"/>
        <rFont val="Calibri"/>
        <family val="2"/>
        <scheme val="minor"/>
      </rPr>
      <t>* Pertaining to Transmission
Business Only, SLDC shall file separately</t>
    </r>
  </si>
  <si>
    <r>
      <rPr>
        <b/>
        <i/>
        <sz val="8"/>
        <rFont val="Calibri"/>
        <family val="2"/>
        <scheme val="minor"/>
      </rPr>
      <t>132/33KV
Transformers</t>
    </r>
  </si>
  <si>
    <t>20 MVA</t>
  </si>
  <si>
    <t>GSS Banjari 20 MVA BBL Make</t>
  </si>
  <si>
    <t>1200 Hrs</t>
  </si>
  <si>
    <t>Failure since 10.02.2021</t>
  </si>
  <si>
    <t>216 Hrs</t>
  </si>
  <si>
    <t>Replaced on 09.04.2021 by 20 MVA Aval Make TR</t>
  </si>
  <si>
    <t>GSS Banjari 20 MVA AVAL Make</t>
  </si>
  <si>
    <t xml:space="preserve">3768 Hrs </t>
  </si>
  <si>
    <t>Replaced on 12.09.2021 by 20 MVA Emco Make TR</t>
  </si>
  <si>
    <t>GSS Warsaliganj 20 MVA</t>
  </si>
  <si>
    <t>144 Hrs</t>
  </si>
  <si>
    <t>From 25.09.21, it is kept on OFF position after CRITL &amp; TnC recommendations.</t>
  </si>
  <si>
    <t>GSS Kahalgaon 20 MVA</t>
  </si>
  <si>
    <t>1464 Hrs</t>
  </si>
  <si>
    <t>Failure since 16.07.21. Hours calculated till sep 2021</t>
  </si>
  <si>
    <t>GSS Khagaria 20 MVA T-01</t>
  </si>
  <si>
    <t>3388:41hrs</t>
  </si>
  <si>
    <t>This Transformer was made off on 07.06.2021 at 22:52hrs due smoke observed near Y-phase LV Bushing. After its overhauling and testing, this Transformer has been successfully charged on 29.10.2021 at 20:27hrs at GSS Khagaria.</t>
  </si>
  <si>
    <t>GSS Kusheswarsthan 20 MVA</t>
  </si>
  <si>
    <t>19 Minutes</t>
  </si>
  <si>
    <t xml:space="preserve">Dt. 29.07.2021 Snake climbed on R ph LA in LV side of T/F 1. </t>
  </si>
  <si>
    <t>GSS Bihta (new) 50 MVA T2</t>
  </si>
  <si>
    <t>2 Hrs 23 Minutes</t>
  </si>
  <si>
    <t>27 Minutes</t>
  </si>
  <si>
    <t>GSS Kochas 50 MVA</t>
  </si>
  <si>
    <t>1149 Hrs</t>
  </si>
  <si>
    <t>GSS Bihta (new) 50 MVA T1</t>
  </si>
  <si>
    <t>32 Minutes</t>
  </si>
  <si>
    <t>GSS Karamnasa 50 MVA</t>
  </si>
  <si>
    <t>21 Hrs 45 Minutes</t>
  </si>
  <si>
    <t>Fire occurred on top of transformer cables of Buchholz and PRV relay cables after heavy flashing in 33 KV industrial feeder on 07.11.2020</t>
  </si>
  <si>
    <t>GSS Nalanda 50 MVA</t>
  </si>
  <si>
    <t>145 Hrs 06 Minutes</t>
  </si>
  <si>
    <t>Air cell bag inside main conservator found discharged . Restoration work delayed due to continuous rain</t>
  </si>
  <si>
    <t>GSS Darbhanga 50 MVA ATR-01</t>
  </si>
  <si>
    <t>48 min</t>
  </si>
  <si>
    <t>GSS Hajipur 50 MVA</t>
  </si>
  <si>
    <t>317 Hrs 57 Minutes</t>
  </si>
  <si>
    <t>Bushing failure</t>
  </si>
  <si>
    <t>GSS Darbhanga 50 MVA ATR-02</t>
  </si>
  <si>
    <t>06 hrs 42 min</t>
  </si>
  <si>
    <t>3-Overfluxing</t>
  </si>
  <si>
    <t>32 hrs 59 min</t>
  </si>
  <si>
    <t>3-REF, 3-Diffrential, 1-LA blast</t>
  </si>
  <si>
    <t xml:space="preserve"> GSS Siwan 50MVA T-II</t>
  </si>
  <si>
    <t>22 hours</t>
  </si>
  <si>
    <t>20 hours</t>
  </si>
  <si>
    <t>141 Hrs 20 Minutes</t>
  </si>
  <si>
    <t>For OSR failure and oil filteration</t>
  </si>
  <si>
    <t>GSS Pandaul 50 MVA</t>
  </si>
  <si>
    <t>4 Hours</t>
  </si>
  <si>
    <t>GSS Sherghati 50 MVA</t>
  </si>
  <si>
    <t>2160 Hours</t>
  </si>
  <si>
    <t>GSS Bodhgaya 50 MVA</t>
  </si>
  <si>
    <t xml:space="preserve">1576 hrs
</t>
  </si>
  <si>
    <t>replaced by new  ECE make Transformer. Tr failure date 26.12.2020 at 9:30 hrs New Tr charging date 02.03.2021 at 01 hrs</t>
  </si>
  <si>
    <t xml:space="preserve">1094 hrs
</t>
  </si>
  <si>
    <t>replaced by new  Tr. make- Technical Associates Ltd . Tr failure date 29.06.2021at 08:30 hrs. New Tr charging date 13.08.2021 at 22:30 hrs.</t>
  </si>
  <si>
    <t>Note: Total duration of failure will be upto time  transformer bought back to service or got replaced by other transformer.</t>
  </si>
  <si>
    <t>Sr. No.</t>
  </si>
  <si>
    <t>Name of Works</t>
  </si>
  <si>
    <t>Scheme</t>
  </si>
  <si>
    <t>Award Cost</t>
  </si>
  <si>
    <t>Actual Start Date</t>
  </si>
  <si>
    <t>Schdule Date of Completion</t>
  </si>
  <si>
    <t>Actual Date of Completion</t>
  </si>
  <si>
    <t>Amended Project Cost</t>
  </si>
  <si>
    <t>Frim or With Escalation in prices</t>
  </si>
  <si>
    <t>Construction of 220KV D/C transmission line from BTPS to Hajipur, NIT-95/2014</t>
  </si>
  <si>
    <t>BRGF</t>
  </si>
  <si>
    <t>03.09.2018</t>
  </si>
  <si>
    <t>Construction of 132/33KV GSS Maharajganj- NIT/93/2014.</t>
  </si>
  <si>
    <t>24.05.2017</t>
  </si>
  <si>
    <t>Construction of 132/33KV GSS Narkatiyaganj - NIT-93/2014</t>
  </si>
  <si>
    <t>31.05.2017</t>
  </si>
  <si>
    <t>Construction of 132/33KV GSS
Hathua NIT-93/2014</t>
  </si>
  <si>
    <t>T1: 06.12.2016
T2: 20.05.2017</t>
  </si>
  <si>
    <t>Construction of 132/33KV GSS
Areraj, NIT-93/2014</t>
  </si>
  <si>
    <t>18.05.2017</t>
  </si>
  <si>
    <t>Construction of 132/33KV GSS
Chakiya-NIT-62/2014 A</t>
  </si>
  <si>
    <t>29.12.2017</t>
  </si>
  <si>
    <t>Construction of 132/33KV GSS
Jhanjharpur</t>
  </si>
  <si>
    <t>T1: 24.07.2018
T2: 05.02.2019</t>
  </si>
  <si>
    <t>Construction of 132/33KV GSS
Pakridayal</t>
  </si>
  <si>
    <t>25.02.2019</t>
  </si>
  <si>
    <t>Construction of 132/33KV GSS, NIT-85/2015
Siwan-New</t>
  </si>
  <si>
    <t>T1: 30.04.2018
T2: 29.06.2019</t>
  </si>
  <si>
    <t>Construction of Loop In Loop Out arrangement of 132 KV Tx. line Madhepura- Sonebarsa 132 KV S/C Tx.line on D/C Tower at Saharsa Existing (CKM-40KM) under Special Plan of Phase-III
against NIT 38/2014.</t>
  </si>
  <si>
    <t>01.02.2020</t>
  </si>
  <si>
    <t>Construction of 132/33 KV,  2 x20MVA Nirmali,  2 x 20 MVA,
2 x 20 MVA Banmankhi,  2 x 20 MVA Manihari and 2 x 10 MVA Triveniganj against NIT 63/2014(Package B)</t>
  </si>
  <si>
    <t>04.04.2016(Nirmali) 04.04.2016(Triveniganaj) 09.04.2016(Banmankhi) 31.07.2016(Manihari)</t>
  </si>
  <si>
    <t>Manihari-07.12.17
Nirmali-28.12.16
Banmankhi-25.01.17
Triveniganj-14.04.17</t>
  </si>
  <si>
    <t>GSS Tarapur:- 27.01.2017, GSS Teghra:-
12.10.2017, Simri
Bakhtiyarpur:- 03.03.2017.</t>
  </si>
  <si>
    <t>Araria-18.10.17
Barsoi-29.01.18
Baisi-02.05.18
Dhamdaha-15.02.18</t>
  </si>
  <si>
    <t>R&amp;M of 132/33KV GSS at Kishanganj, Jamalpur and Purnea against  NIT no.
07/PR/BSPTCL/2016</t>
  </si>
  <si>
    <t>Purnea- 18.01.2018 Kishanganj- 25.10.2018 Jamalpur-30.01.2019</t>
  </si>
  <si>
    <t>Construction of 3X50 MVA, 132/33kV Grid Sub-Station, Jagdishpur (Bhagalpur New) and Korha(Katihar)against  NIT no. 10 /PR/BSPTCL/2016</t>
  </si>
  <si>
    <t>31.08.2020</t>
  </si>
  <si>
    <t>Strengthening of 132 KV &amp; 33 KV main bus and transfer bus by double moose &amp;quad moose
respectively of different GSS of BSPTCL NIT no. 24 /PR/BSPTCL/2015</t>
  </si>
  <si>
    <t>16.07.2015</t>
  </si>
  <si>
    <t>15.07.2016</t>
  </si>
  <si>
    <t>Completed</t>
  </si>
  <si>
    <t>Construction of 132 KV D/C T/L from Motihari (400 KV) to Motihari (BSPTCL)
NIT 403/PR/BSPTCL/2013 Pkg A</t>
  </si>
  <si>
    <t>06.08.2017</t>
  </si>
  <si>
    <t>Construction of 132 KV D/C T/L from Motihari (400 KV) to Bettiah
NIT 403/PR/BSPTCL/2013 Pkg B</t>
  </si>
  <si>
    <t>Construction of 132 KV D/C T/L from Motihari (400 KV) to Raxaul
NIT 403/PR/BSPTCL/2013 Pkg C</t>
  </si>
  <si>
    <t>construction of two numbers of 132 KV Line bays each at Bettiah (132/33 KV) GSS and Raxaul
(132/33 KV) GSS, NIT-403/2013, D VSPL</t>
  </si>
  <si>
    <t>Bettiah:03.08.2017
Raxaul: 20.10.2017</t>
  </si>
  <si>
    <t>(i) construction of 132 KV S/C transmission lines on D/C Tower from 132/33 KV Dhaka GSS to upcoming Pakridayal GSS
(ii) Construction of New 132 KV S/C Transmission line on D/C Tower from 220/132 KV Motipur GSS to upcoming Chakiya GSS
(iii) LILO of 132 KV S/C of Jainagar-Phulparas Transmission Line at upcoming Jhanjharpur GSS
NIT No 82/PR/BSPTCL/2014</t>
  </si>
  <si>
    <t>L1: 20.01.2017
L2: 07.10.2017
L3: 20.01.2018</t>
  </si>
  <si>
    <t>Construction of 132KV D/C Udakishanganj-Sonebarsa T/L and 132KV D/C Kusheshwarsthan- Sonebarsa T/L against NIT No.
16/PR/BSPTCL/2014</t>
  </si>
  <si>
    <t>Udakishanganj-Sonebarsa: 13.06.2016
Kusheshwarsthan- Sonebarsa: 08.01.2018</t>
  </si>
  <si>
    <t>Construction of 220KV D/C Transmission line Kishanganj (New) – Kishanganj (PGCIL) &amp;132 KV D/C T.L. Kishanganj (New) – Kishanganj (existing GSS) against NIT No.
58/PR/BSPTCL/2014</t>
  </si>
  <si>
    <t>220KV D/C Transmission line Kishanganj (New) – Kishanganj (PGCIL) charged on 5.10.2016 &amp; 28.12.2016 and 132 KV
D/C T.L. Kishanganj (New) – Kishanganj (existing GSS) has been charged 04.01.2017.</t>
  </si>
  <si>
    <t>Construction of 6 nos of 132/33KV Transformer Bay at Madhubani, Muzaffarpur, Dalsingsarai, Ramnagar, Hajipur and Jandaha , NIT- 08/2014, ABN</t>
  </si>
  <si>
    <t>05.12.2017</t>
  </si>
  <si>
    <t>Construction of 220 KV Kishanganj New- Madhepura D/C NIT-02/2015, L&amp;T
Tx. Line</t>
  </si>
  <si>
    <t>24.08.2018</t>
  </si>
  <si>
    <t>Construction of 220 KV (D/C) Line between  Madhepura to Laukhi with AL-59
Conductor(75Km),  NIT-03/2015, L&amp;T</t>
  </si>
  <si>
    <t>Construction of 220 KV Purnea
(PG) – Begusarai  D/C Tx. Line, NIT-27/2015</t>
  </si>
  <si>
    <t>RSVY &amp; State
Plan</t>
  </si>
  <si>
    <t>19.06.2019</t>
  </si>
  <si>
    <t>132 KV LILO T/l on one of  the CKT of 132 KV Betia--Dhanha to Ramanagar GSS against NIT No.
22/PR/BSPTCL/2015</t>
  </si>
  <si>
    <t>08.07.2019</t>
  </si>
  <si>
    <t>Construction of  3x50MVA , 132/33KV GSS Raghopur against
NIT 30/PR/BSPTCL/2017.</t>
  </si>
  <si>
    <t>15.05.2019</t>
  </si>
  <si>
    <t>Construction of LILO of one circuit of 132KV Laukahi-Supaul Transmission Line at 132/33 KV
GSS Raghopur  against NIT No. 31/PR/BSPTCL/2017</t>
  </si>
  <si>
    <t>21.02.2019</t>
  </si>
  <si>
    <t>Construction of 132KV S/C Transmission line on D/C Tower between 132/33KV GSS Rosera and Hasanpur Sugar Mill along- with 01 no. 132KV line bay at 132/33KV GSS Rosera against
NIT No.-15/PR/BSPTCL/2017</t>
  </si>
  <si>
    <t>IRF</t>
  </si>
  <si>
    <t>Construction of 8 Nos. 132KV line bays at Pandaul-01Nos., Madhubani-02Nos, Jainagar-02, Phulparas-01Nos, Ekma-01Nos and Kusheshwarsthan-01Nos under state plan against NIT No. 04/PR/BSPTCL/2016</t>
  </si>
  <si>
    <t>State plan</t>
  </si>
  <si>
    <t>Construction of 02 nos. 132KV line bays each at 132/33KV GSS SKMCH &amp; Sitamarhi under Special Plan/BRGF, Phase- III,Part-I  against NIT No.
07/PR/BSPTCL/2015</t>
  </si>
  <si>
    <t>SKMCH Bay -26.01.2017
Sitamrhi Bay -14.07.2017</t>
  </si>
  <si>
    <t>Construction of New 132 KV S/C Transmission Line on D/C Tower from existing Kuseshwarsthan GSS to Benipur GSS (Line
length-37 Km), construction of New 132 KV S/C Transmission Line on D/C Tower from 220/132 KV Samastipur GSS to Upcoming Shahpurpatori GSS (Line Length- 31 CKM), LILO of 132 KV S/C
of Muzaffarpur –Sitamarhi at Belsand GSS under State Plan on
turnkey basis against NIT No.- 81/PR/BSPTCL/2014</t>
  </si>
  <si>
    <t>Construction of 132/33 KV Grid Sub-station, Belsand (2X10MVA), Shahpur Patori (2X20MVA) and Benipur (2X10MVA), NIT-
62/BSPTCL/2014 Pkg-B under state plan on turnkey basis against NIT No.-62/PR/BSPTCL/2014</t>
  </si>
  <si>
    <t>Construction of 2 x160+3x50
MVA GSS Musahari(New), NIT-477/2013, Techno</t>
  </si>
  <si>
    <t>Completed and charged</t>
  </si>
  <si>
    <t>Construction of  220 KV &amp; 132 KV D/C Transmission line for
evacuation of power from upcoming Motipur GSS, NIT-01/2014, L&amp;T, Pkg A</t>
  </si>
  <si>
    <t>27.06.2014</t>
  </si>
  <si>
    <t>Construction of
(i) 220KV D/C Line from Darbhanga 400/200 KV GSS to to Laukahi (new)GSS
(ii) 220KV D/C Line from Laukahi(new) GSS to Supaul (existing)   Pkg-'D'
GSS, NIT-15/2014 (pkg-D),. L&amp;T</t>
  </si>
  <si>
    <t>Construction of  220 KV &amp; 132 KV D/C Transmission line for evacuation of power from
upcoming Musahari GSS, NiT-01/2014, Pkg B</t>
  </si>
  <si>
    <t>Construction of 1 new KV S/C Trans. Line on D/C TOWER from Patna(PG)-Sipara.NIT-04/14</t>
  </si>
  <si>
    <t xml:space="preserve">Construction of 220 /132 /33 kV
Motipur GSS, NIT-24/2014, </t>
  </si>
  <si>
    <t>16.02.2015</t>
  </si>
  <si>
    <t>Construction of 132/33kV GSS at Manjhaul , Ballia   and Bakhari against  NIT- 63/PR/BSPTCL/2014, Package- (A)</t>
  </si>
  <si>
    <t>Construction of 132KV Transmission lines  connecting the revenue GSS Bakhri, Ballia, Manjhaul, Nirmali, Triveniganj, Banmankhi, Manihari and Piro against NIT No.
35/PR/BSPTCL/2015</t>
  </si>
  <si>
    <t>Ballia- 04.05.2017   Bakhari- 16.11.2017 Manjhaul-18.05.2017 Banmakhi- 25.01.2017 Piro- 29.05.2017 Triveniganj-02.02.2017 Nirmali-25.12.2016 Manihari- 19.11.2017</t>
  </si>
  <si>
    <t>30.07.0214</t>
  </si>
  <si>
    <t>1. 220/132/33KV
Kishanganj GSS - 10.10.2016
2. 2x132KV line bay extension at Kishanganj Remote site- 04.01.2017
3. 2x132KV line bay extension at Forbesganj Remote site- 20.10.2016 and 10.01.2017
4. 4x220KV line bay extension at Madhepura Remote site- 27.04.2017
5. Laukhi Bay extension on 05.06.2018 &amp; 06.06.2018.</t>
  </si>
  <si>
    <t>Capacity augmentation of 220/132/33 kV &amp; 132/33 kV Grid Substation  Madhepura,
Naugachia,  Vaishali,  Gangwara, Jamui, Ara and Bihta</t>
  </si>
  <si>
    <t>21.08.2019</t>
  </si>
  <si>
    <t>Procurement and construction of 33 KV line bays in form of Indoor VCB panels at 10 nos. of AIS
sub-station under transmission circle, Purnea</t>
  </si>
  <si>
    <t>Procurement and construction of 33 KV line bays in form of Indoor VCB panels at 21 nos. of AIS
sub-station under transmission circle, Muzaffarpur</t>
  </si>
  <si>
    <t>Procurement and construction of 33 KV line bays in form of Indoor VCB panels at 08 nos. of AIS
sub-station under transmission circle, Biharsharif ICB 29</t>
  </si>
  <si>
    <t>21.12.2019</t>
  </si>
  <si>
    <t>Construction of 220 KV Bihta(new) -Sipara(Patna) D/C transmission line ,220 KV Bihta(new)-Bihta(existing) D/c Transmission line (charged at 132 KV ) and 33 Kv down linking lines from Bihta(new) 220/132/33
KV GSS on tunkey basis. NIT- 183/2013</t>
  </si>
  <si>
    <t>TOC:-16.05.2019</t>
  </si>
  <si>
    <t>Renovation &amp; Up gradation of Protection and Control Systems of 220/132KV Grid Substation at Biharsharif, Fatuha, Bodhgaya, Dehri On Sone, Khagaul and 132/33KV Grid Substation
Kataiya on turnkey basis, NIT-61/2015</t>
  </si>
  <si>
    <t>PSDF</t>
  </si>
  <si>
    <t>30.11.2020</t>
  </si>
  <si>
    <t>Second circuit stringing of existing 04 nos of 132KV Double circuit Single strung transmission line:-
1)  132KV Biharsharif- Ekangarsarai- Hulasganj(Except
LILO point to Ekangarsasari)(48.14CKM) 2)132KV BIharsharif- Nawada(48.89CKM) 3)132KV BIharsharif- Sheikhpura(38.78CKM) 4)132KV Jamui-
sheikhpura(51.9CKM, NIT-74/2015</t>
  </si>
  <si>
    <t>13.04.2019</t>
  </si>
  <si>
    <t>Construction of 132KV S/C Transmission Line for Solar PV Project of M/s Alfa Infraprop Pvt. Ltd. at Bhagaura from 132KV GSS Rafiganj and Construction of 01 no. 132KV line bay at GSS Rafiganj against NIT No.-
02/PR/BSPTCL/17</t>
  </si>
  <si>
    <t>Construction of 11 Nos. of line bays at Sherghati -01,Imamganj - 01, Sonenagar-02, Aurangaba-02, Ara-02, Jagdishpur-03 &amp; 1 No. of T/F bay at Sherghati agaisnt NIT
No.-68/PR/BSPTCL/14</t>
  </si>
  <si>
    <t>26.07.2019</t>
  </si>
  <si>
    <t>Second Circuit Stringing of Existing 03 Nos. of 132 KV Double Circuit Single Strung Transmission Line:
i) GSS Belagunj to tapping point of L-32 &amp; L-33 Trans. Line 2.5
CKM
ii)132 KV Gaya-Tekari and 132 KV Tekari-Goh 51.8 CKM iii)132 KV Jehanabad-Ataula (Karpi)
22.57 CKM Under Transmission Circle Gaya on Turnkey Basis
under State Plan on FIRM  prices against NIT No.- 72/PR/BSPTCL/15</t>
  </si>
  <si>
    <t>Construction of 3x50MVA, 132/33KV GSS Ramgarh (Kaimur dist.) and Warislaiganj (Nawada Dist.) on turnkey basis against NIT No.-
84/PR/BSPTCl/15</t>
  </si>
  <si>
    <t>Procurement and Construction of 33KV line bays in form of Indoor VCB panels at 06 nos. of AIS Sub-station under Transmission Circle Bhagalpur against
24/Package D-1/ BSPTCL/ADB/16</t>
  </si>
  <si>
    <t>17.02.2020</t>
  </si>
  <si>
    <t>Construction of 220KV  Lines</t>
  </si>
  <si>
    <t>30.06.2019</t>
  </si>
  <si>
    <t>Construction of 33 kV Line Bays in form of Indoor GIS Panel at 11 nos. of AIS Substation under Patna District of BSPTCL on Turnkey Basis.</t>
  </si>
  <si>
    <t>Re-conductoring of 05 nos. 220KV &amp; 132KV Transmission lines -- 254.99 Ckm</t>
  </si>
  <si>
    <t>Supply, Installation, Implementation, Configuration and Integration of ERP system in BSPTCL</t>
  </si>
  <si>
    <t>31.12.2020</t>
  </si>
  <si>
    <t>Construction of LILO line on both circuits of 220 KV Begusarai- Purnea (PG)Transmission line at Khagariya new 220/132/33 KV GSS against NIT 12/PR/BSPTCL/2016 Pkg-A
under state plan.</t>
  </si>
  <si>
    <t>construction of   LILO line on both circuits of 132 KV BTPS- Purnea D/C Transmission line at Khagariya new 220/132/33 KV GSS (CKM-10 KM)  against NIT 12/PR/BSPTCL/2016 Pkg-B
under state plan.</t>
  </si>
  <si>
    <t>Construction of (2x160 + 2x50) MVA, 220/132/33KV Grid Sub-
Station in KHAGARIA (New) under State Plan in between 220KV D/C Purnea (PG) – Begusarai Transmission Line., NIT-41/2015</t>
  </si>
  <si>
    <t>27.08.2015</t>
  </si>
  <si>
    <t>30.08.2020</t>
  </si>
  <si>
    <t>Construction of 132 KV Transmission Lines required for the connectivity of power to upcoming new 132/33 KV Grid Sub Stations at Korha (Distt- Katihar),Nathnagar (Distt.- Bhagalpur) and Jamui(new) on turnkey basis under State Plan
(R.L.=190 CKM) against NIT No.-87/2015</t>
  </si>
  <si>
    <t>09.07.2020</t>
  </si>
  <si>
    <t>TOC-22.09.2020</t>
  </si>
  <si>
    <t>Construction of 132 KV D/C Transmission Line between 220/132/33 KV Bihta (New) GSS and 132/33KV Upcoming Paliganj GSS NIT No.- 24/PR/BSPTCl/2016</t>
  </si>
  <si>
    <t>LDOC-31.12.2020</t>
  </si>
  <si>
    <t>Capacity Augmentation at GSS Baripahari NIT-30/2015</t>
  </si>
  <si>
    <t>13.08.15</t>
  </si>
  <si>
    <t>12.08.16</t>
  </si>
  <si>
    <t>Capicity Augmentation at GSS Dumraon NIT-30/2015</t>
  </si>
  <si>
    <t>Capicity Augmentation at Gss Begusarai &amp; Purnea NIT-30/2015</t>
  </si>
  <si>
    <t>Capacity Augmentation at Sitamarhi &amp; Raxaul NIT-30/2015</t>
  </si>
  <si>
    <t>Cap. Augmentation at Gss Chandauti/Jehanabad NIT-30/2015</t>
  </si>
  <si>
    <t xml:space="preserve"> Construction of 2x50 MVA, 132/33 KV GSS at Bhabhua , NIT-90/2015</t>
  </si>
  <si>
    <t>Construction of 132/33KV Grid Sub-Station At Piro(Bhojpur) ( 2X20MVA) NIT No.- 61/PR/BSPTCL/2014</t>
  </si>
  <si>
    <t>25.09.2018</t>
  </si>
  <si>
    <t>Construction of associated 132 KV line Bays (No. of Bays-05) for second Circuit Stringing of existing 132 KV double Circuit Single Strung NIT No. 02/PR/BSPTCL/2016/State Plan</t>
  </si>
  <si>
    <t>R&amp;M Work of 132/33 Kv GSS Saharsha and Katihar NIT No. 427/2013 Pkg-E</t>
  </si>
  <si>
    <t>04.03.2014</t>
  </si>
  <si>
    <t>03.03.2015</t>
  </si>
  <si>
    <t>132/33Kv GSS Rosera NIT No. 94/2014</t>
  </si>
  <si>
    <t>20.05.15</t>
  </si>
  <si>
    <t>04.07.16</t>
  </si>
  <si>
    <t>132/33Kv GSS Pupuri NIT No. 94/2014</t>
  </si>
  <si>
    <t>132/33 kV GSS Benipatti NIT No. 94/2014</t>
  </si>
  <si>
    <t>132/33kv GSS Mahnar NIT No. 94/2014</t>
  </si>
  <si>
    <t xml:space="preserve">Construction Of 132 KV bay Extension at remote at GSS samastipur NIT No.- 482/PR/BSPTCL/2013  </t>
  </si>
  <si>
    <t>Construction of 132 kv 2 no Bays each at 132kv GSS DARBGANGA  &amp; Gangwra NIT No.- 98/2014</t>
  </si>
  <si>
    <t>21.12.15</t>
  </si>
  <si>
    <t>Construction of Bays at GSS Gaihat, 97/2015</t>
  </si>
  <si>
    <t>NOA issued on 05.02.2019</t>
  </si>
  <si>
    <t>04.02.2020</t>
  </si>
  <si>
    <t>Construction of 02 nos. 132KV Line bays each at 132/33KV Grid- Substation Mahnar &amp; Shahpurpatori and Construction of 02nos. 220KV Line bays at 220/132/33KV GSS Samastipur(New) on Turnkey basis under State Plan against  NIT No.
85/PR/BSPTCL/2018.</t>
  </si>
  <si>
    <t>NOA issued on 14.01.2019</t>
  </si>
  <si>
    <t>9 Months from NOA</t>
  </si>
  <si>
    <t>Construction of 220 KV D/C Transmission Line from GSS Sitamarhi (New) to 220/132/33 KV GSS Motipur with Twin ACSR Moose Conductor (Approx Line Length 54RKM) and construction of 132 KV D/C Transmission Line from GSS Sitamarhi (New) to 132/33 KV GSS Runnisaidpur with single ACSR Moose Conductor (Approx Line Length    17RKM) on turnkey basis against NIT No.- 61/PR/BSPTCL/2018.</t>
  </si>
  <si>
    <t>15 Months from date of Notification of Award.</t>
  </si>
  <si>
    <t>Construction of 132 KV D/C Transmission Line for LILO of Chandauti-Sonenagar (L-30) 132 KV S/C Transmission Line and Chandauti-Rafiganj-Sonenagar (L-31) 132 KV S/C Transmission Line at GSS Chandauti (New) with HTLS Conductor (equivalent to Panther) conductor on turnkey basis. (Route length   46 KM).against NIT No.- 110/PR/BSPTCL/18</t>
  </si>
  <si>
    <t>NOA issued on 06.02.2019</t>
  </si>
  <si>
    <t>05.02.2020</t>
  </si>
  <si>
    <t>31.03.2021</t>
  </si>
  <si>
    <t>1. Construction of 220kV D/c Pusauli (PG)- Sahpuri LILO Karmnasha (new) Transmission line with single moose (Line length-12 Ckm) on turnkey basis.
2. Construction of 220kV D/c Pusauli (BSPTCL)- Karmnasha (New) Transmission Line with twin moose (Line length - 80 Ckm) on turnkey
basis NIT No.-56/PR/BSPTCL/2018</t>
  </si>
  <si>
    <t>Supply-27 dt. 21.01.19
Erection 28
dt. 21.01.19</t>
  </si>
  <si>
    <t>20.04.2020</t>
  </si>
  <si>
    <t>Supply- 23 dt.
21.01.19
Erection-24 dt. 21.01.19</t>
  </si>
  <si>
    <t>Capacity augmentation by addition of 3rd 160 MVA, 220/132KV ICT
along with associated transformer bays at Sonenagar (New) GSS on turnkey basis NIT No.- 95/PR/BSPTCl/2018</t>
  </si>
  <si>
    <t>Supply- 07 dt.
15.01.19
Erection-  08
dt. 15.01.19</t>
  </si>
  <si>
    <t>14.10.20</t>
  </si>
  <si>
    <t>30.12.2020</t>
  </si>
  <si>
    <t>Construction of 02 Nos. of 220KV Line bays at Begusarai GSS &amp; 2 Nos. 220KVLine bays at Khagaria(New) GSS with SAS against NIT No.
68/PR/BSPTCL/2018</t>
  </si>
  <si>
    <t>Supply-  03 dt.
15.01.19  04 dt.  Erection- 04 dt. 15.01.19</t>
  </si>
  <si>
    <t>14.10.2019</t>
  </si>
  <si>
    <t>Construction of 05 Nos of 132/33 KV Transformer Bays in Gaya Transmission Circle on turnkey basis under State Plan against NIT No.
120/PR/BSPTCL/2018</t>
  </si>
  <si>
    <t>NOA issued on 25.02.2019</t>
  </si>
  <si>
    <t>09 months from the date of LOI</t>
  </si>
  <si>
    <t>Supply, erection, testing and commissioning of 06 Nos. of  50 MVA Power Transformer with construction/modification of foundation  in Transmission Circle Muzaffarpur on turnkey basis under State Plan against NIT No.
125/PR/BSPTCL/2018</t>
  </si>
  <si>
    <t>12 months from the date of LOI</t>
  </si>
  <si>
    <t>Supply, erection, testing and commissioning of 06 Nos. of  50 MVA Power Transformer with construction/modification of foundation  in Transmission Circle Saran, Kosi &amp; Darbhanga on turnkey basis under State Plan against NIT No. 126/PR/BSPTCL/2018</t>
  </si>
  <si>
    <t>Supply, erection, testing and commissioning of 06 Nos. of  50 MVA Power Transformer with construction/modification of foundation  in Transmission Circle Gaya on turnkey basis under State Plan against NIT No.
127/PR/BSPTCL/2018</t>
  </si>
  <si>
    <t>Supply, erection, testing and commissioning of 05 Nos. of  50 MVA Power Transformer with construction/modification of foundation  in Transmission Circle Purnea &amp; Bhagalpur on turnkey basis under State Plan against NIT 128/PR/BSPTCL/2018</t>
  </si>
  <si>
    <t>Supply, erection, testing and commissioning of 05 Nos. of  50 MVA Power Transformer with construction/modification of foundation  in Transmission Circle Patna &amp; Dehri-on -sone on turnkey basis under State Plan against NIT No. 129/PR/BSPTCL/2018</t>
  </si>
  <si>
    <t>Re-conductoring of 132 KV Chandauti-Sonenagar S/C Trans. Line (L-30) and 132 KV Chandauti- Rafiganj-Sonenagar Trans. Line (L-31) with HTLS conductor (equivalent to Panther) on turnkey basis. (Route length- 78.21 KM) against NIT No.-
109/PR/BSPTCL/18</t>
  </si>
  <si>
    <t>10.12.2019</t>
  </si>
  <si>
    <t>1.Construction of 132KV LILO line on 132KV S/C Dehri-Banjari Tr line to new GSS Kerpa(CKM-02KM approx.) 2.Re-conductoring  of existing 132KV S/c Tr Line from Dehri to Banjari with HTLS (Equivalent to Panther conductor) 40KM approx
3. Re-conductoring of existing 132KV D/C Tr line from dehri to Sonenagar with HTLS (Equivalent  to Panther conductor)29KM approx. NIT No.-
108/PR/BSPTCL/2018</t>
  </si>
  <si>
    <t>NOA issued on 07.02.2019</t>
  </si>
  <si>
    <t>06.02.2020</t>
  </si>
  <si>
    <t>01.07.2020</t>
  </si>
  <si>
    <t>Re-conductoring of following transmission lines with HTLS (equivalent to Panther) conductor on turnkey basis:-
(1) Circuit 1 &amp; Circuit 2 of 132 KV Biharsharif    Baripahari D/C
Transmission line. (CKM    14 KM approx)
(2) 132 KV S/C Sipara    Mithapur Karbigahiya Transmission line (CKM
7 KM approx) NIT No.- 107/PR/BSPTCL/2018</t>
  </si>
  <si>
    <t>awarded</t>
  </si>
  <si>
    <t>21.06.2020</t>
  </si>
  <si>
    <t>Construction of following Transmission lines on Turnkey basis:
i)  220 KV D/C Muzaffarpur(PG)- Garaul Transmission Line with ACSR Zebra Conductor (Line Length-20 RKM)
ii) 132 KV D/C Garaul- MahnarTransmission Line with ACSR Panther Conductor (Line Length- 45 RKM)
iii) LILO of both circuit of 132 KV D/C Muzaffarpur-vaishali Transmission Line at Garaul GSS with ACSR Panther Conductor (Line Length- 2x15 RKM)
iv) 132 KV D/C Transmission line from GSS Chhapra(New)-Ekma with ACSR Panther Conductor (Line Length - 45 RKM)
NIT No- 50/PR/BSPTCL/2018.</t>
  </si>
  <si>
    <t>15 Month</t>
  </si>
  <si>
    <t>Supply, installation, testing &amp; commissioning of DLMS compliant 0.2s class ABT type energy meter with implementation of 100% metering, data acquisition and online ABT monitoring for the transmission &amp; sub transmission substations up to 33 KV level, monthly energy accounting and service maintenance for a period of 5 years against
NIT No. 37/PR/BSPTCL/2017</t>
  </si>
  <si>
    <t>LOI issued on 28.03.2018</t>
  </si>
  <si>
    <t>15 months from issue of LOI</t>
  </si>
  <si>
    <t>Construction of
(i)132 KV D/C by making LILO arrangement of 132 KV DCSS Saharsa(OLD)-Banmankhi Transmission Line at Saharsa (New) GSS  ( line length approx. 20 RKM)
(ii) 132 KV D/C by making LILO arrangement of 132 KV DCSS Saharsa(OLD)-Udakishanganj Transmission Line at Saharsa (New) GSS  ( line length approx. 15 RKM) and
(iii) 132KV D/C by making LILO arrangement of one circuit of Madhepura- Sonebarsa 132KV D/C transmission line at Saharsa (New) GSS ( line length approx. 35 RKM) against NIT No. 53/PR/BSPTCL/2018.</t>
  </si>
  <si>
    <t>Construction of
(i) 02 Nos. of 220 KV Line bay at 220/132/33 KV GSS Kishanganj (New) with SAS
(ii) 02 Nos. of 132 KV Line bay at 132/33 KV GSS Araria on turnkey basis against NIT No. 67/PR/BSPTCL/2018.</t>
  </si>
  <si>
    <t>Second circuit stringing of 220 KV DCSS Darbhanga (400/220 KV) Samastipur (New) Transmission Line (Line Length- 47 KM) with ACSR Zebra Conductor on turnkey basis against
NIT No.72/PR/BSPTCL/2018</t>
  </si>
  <si>
    <t>NOA issued on 15.01.2019</t>
  </si>
  <si>
    <t>09 Months from NOA</t>
  </si>
  <si>
    <t>30.03.2021</t>
  </si>
  <si>
    <t>Reconductering of (i) 132 KV Muzaffarpur - SKMCH S/C Transmission line with HTLS conductor (line length 20.5 RKM) along with invovment 01 no. of Pile foundation. (ii) 132 KV Kanti (MTPS)- SKMCH D/C transmission line with HTLS conductor (line length 14,28 RKM). NIT No.114/PR/BSPTCL/2018</t>
  </si>
  <si>
    <t>05.11.2019</t>
  </si>
  <si>
    <t>9 Month</t>
  </si>
  <si>
    <t>Construction of 132 KV D/C Bakhtiyarpur (New) to Harnaut  (BSPTCL) Trans.  line (21.361RKM) &amp; Construction of LILO of 132 KV S/C Baripahari- Harnaut Trans. line at GSS Barh (Bakhtiyarpur) against NIT No- 78/PR/BSPTCL/ 2018 under state plan (80:20)</t>
  </si>
  <si>
    <t xml:space="preserve">NOA issued on 01(S) dt:15.01.2019 &amp; 02(E) Dt: 15.01.2019 </t>
  </si>
  <si>
    <t>15.10.2019</t>
  </si>
  <si>
    <t>28.02.2021</t>
  </si>
  <si>
    <t>Successful completion of balance work of construction of 132 KV DCSS Transmission Line from 132/33 KV GSS Bettiah to 132/33 KV GSS Thakraha with Panther Conductor against NIT No. 06/PR/BSPTCL/2020</t>
  </si>
  <si>
    <t>Supply- 07 Erection - 08 both dated :- 01.06.2020</t>
  </si>
  <si>
    <t>Construction of 220 KV D/C Saharsa( New)- Khagaria(New) Transmission line with ACSR Zebra Conductor
(Approx Route Length-80KM) under State Plan against NIT No. 57/PR/BSPTCL/2018</t>
  </si>
  <si>
    <t>Construction of 132Kv D/C Karmnasa (new)- Ramgarh Tr Line on single mooze. 2.
Construction of 132KV D/c Karmnasa (new)- Karmnasa Tr line on single mooze.NIT No.-
55/PR/BSPTCl/2018</t>
  </si>
  <si>
    <t>31.12.2020(LDOC)</t>
  </si>
  <si>
    <t>Construction of 220 KV D/C Sitamarhi (New)- Raxaul(New) Transmission Line with twin moose Conductor (Line Length - 120 RKM) on turnkey basis against NIT No.-
60/PR/BSPTCL/2018.</t>
  </si>
  <si>
    <t>21.04.2020
(15 Month)</t>
  </si>
  <si>
    <t>Construction of 220 Kv D/C Trans Line for LILO of both circuits of 220 kv D/C Gaya (PG)-Sonenagar (BSPTCL) trans line at 400/220/132 KV GSS Chandauti (New) &amp; 220/132/33 KV Gss Bodhgaya
(BSPTCL)-NIT 100</t>
  </si>
  <si>
    <t>Supply- 15 dt.
21.01.19
Erection- 16
dt. 21.01.19</t>
  </si>
  <si>
    <t>20.01.2020</t>
  </si>
  <si>
    <t>Construction of 132/33KV (2X50 MVA)  GSS at Palasi (Dist. Araria) on turnkey basis.
NIT No.-37/PR/BSPTCL/18</t>
  </si>
  <si>
    <t>NOA issued on 21.01.2019 NOA No.- 11&amp;12</t>
  </si>
  <si>
    <t>31.07.2021</t>
  </si>
  <si>
    <t>Construction of 132 KV transmission line with HTLS (equivalent to Panther) conductor on turnkey basis from 132 KV GSS Phulparas to 220/132 KV GSS Laukahi (CKM-25
KM). NIT No. 111/PR/BSPTCL/2018</t>
  </si>
  <si>
    <t xml:space="preserve">NOA issued  on 07.02.2019 </t>
  </si>
  <si>
    <t>12 Months from NOA</t>
  </si>
  <si>
    <t>31.05.2021</t>
  </si>
  <si>
    <t>Construction of following associated 220KV &amp; 132KV D/C Transmission Lines of 220/132/33KV GSS Asthawan (Dist. Nalanda) on Turnkey Basis:-
1.  Construction of 220 KV D/C Transmission line from Sheikhopursarai(BGCL) to 220/132/33 KV GSS Asthawan (Line Length- 20 )RKM
2.   Construction of 220 KV D/C Transmission line from 220/132/33 KV GSS Biharsharif to 220/132/33 KV GSS Asthawan (Line Length - 20 RKM).
3.    Construction of 132 KV D/C Transmission line from 220/132/33 KV GSS Asthawan to 132/33 KV GSS Barh (Line Length - 40 RKM).
4.    Construction of 132 KV D/C Transmission line from 220/132/33 KV GSS Asthawan to 132/33 KV GSS Rajgir (Line Length - 40 RKM).
5.    Construction of 132 KV D/C Transmission line from 220/132/33 KV GSS Asthawan to 132/33 KV GSS Nalanda (Line Length - 30 RKM).NIT
No.-58/PR/BSPTCL/2018</t>
  </si>
  <si>
    <t>NOA (Supply- 09 dt.
21.01.19
Erection-  10
dt. 21.01.19)</t>
  </si>
  <si>
    <t>30.06.2021</t>
  </si>
  <si>
    <t>Construction of LILO one Ckt of 132 KV D/C Kishanganj (Old) - Forbishganj Transmission Line at Palasi GSS with ACSR Panther Conductor (Line Length-20 RKM) against NIT No.-
69/PR/BSPTCL/2018</t>
  </si>
  <si>
    <t>14.01.2020
(12 months from issue of NOA)</t>
  </si>
  <si>
    <t>Construction of  220 KV D/c transmission line from 220/132/33 KV GSS Chapra (New), Amnour to 400/220 KV GSS Muzaffarpur (PG) with Zebra conductor (line length Approx. 65 KM) &amp; 132 KV D/c transmission line from 220/132/33 KV GSS Chapra (New), Amnour to 132/33 KV GSS Vaishali with Panther conductor (line length- Approx 40 KM on turnkey basis  against NIT No.-51/PR/BSPTCL/2018.</t>
  </si>
  <si>
    <t>15 months from issue of NOA</t>
  </si>
  <si>
    <t>31.08.2021</t>
  </si>
  <si>
    <t>Construction of 220 KV D/C Saharsa(New)- Begusarai Transmission line with ACSR Zebra Conductor (Approx Route Length- 100KM) under State Plan against NIT No. 54/PR/BSPTCL/2018.</t>
  </si>
  <si>
    <t>15 Months from NOA</t>
  </si>
  <si>
    <t>31.06.2021</t>
  </si>
  <si>
    <t>Construction of 220 KV D/C Transmission Line from 220/132/33 KV GSS Raxaul (New) to 220/132/33 KV GSS Gopalganj with Twin ACSR Moose Conductor (Approx Line Length    80RKM) on Turnkey Basis against NIT No.- 62/PR/BSPTCL/2018.</t>
  </si>
  <si>
    <t>Construction of 132 KV Line bays at various grid substation on turnkey basis
i)Construction of 132 KV line bays 02 nos. at GSS Laukahi.  Ii)Construction of 132 KV line bays 02 nos. at GSS Phulparas. NIT No.- 63/PR/BSPTCL/2018</t>
  </si>
  <si>
    <t>NOA issued on 15.01.2019 NOA No.-105 &amp; 106</t>
  </si>
  <si>
    <t>15.07.2019
(06 months from issue of NOA)</t>
  </si>
  <si>
    <t>31.05.2021 (For Laukahi bay only)</t>
  </si>
  <si>
    <t>Construction of 02 Nos. 132 KV line bays each at  GSS Muzaffarpur &amp; Vaishali against NIT No.- 65/PR/BSPTCL/2018.</t>
  </si>
  <si>
    <t>14.07.2019
(06 months from issue of NOA)</t>
  </si>
  <si>
    <t>Construction of LILO of 132 KV DCSS Benipatti - Pupari Transmission line at Sitamarhi (new) and LILO of both ckt. of 132 KV Raxaul - Bettiah D/C Transmission line at Raxaul (new) with ACSR Panther Conductor.
NIT No.-71/PR/BSPTCL/2018</t>
  </si>
  <si>
    <t>NOA issued on 21.01.2019.
NOA No.- 23&amp;24</t>
  </si>
  <si>
    <t>Construction of 220/132/33 KV, (2x160 + 3x50) MVA, GSS Asthawan (Dist.- Nalanda) including Residential Quarters with Construction of 02 Nos. 220 KV Line Bays &amp; 06 Nos. 132 KV Line Bays at remote end on Turnkey Basis. NIT No.- 41/PR/BSPTCl/2018</t>
  </si>
  <si>
    <t>NOA (Supply- 11 dt.
21.01.19
Erection-  12
dt. 21.01.19)</t>
  </si>
  <si>
    <t>20.07.2020</t>
  </si>
  <si>
    <t>Supply-13 dt. 21.01.19
Erection- 14
dt. 21.01.19</t>
  </si>
  <si>
    <t>06 months from issue of NOA</t>
  </si>
  <si>
    <t>Signature of the Petitioner</t>
  </si>
  <si>
    <t>Statement of Capital Expenditure and Capitalization is provided in Annexure III, and Annexure VI of the Petition</t>
  </si>
  <si>
    <t>Statement of Capital Expenditure and Capitalization is provided in Annexure III and VI of the Petition</t>
  </si>
  <si>
    <t>Statement of Additional Capitalization provided in Annexure III, and VI of the Petition</t>
  </si>
  <si>
    <t>FY 2021-22 (till Sep 2021)</t>
  </si>
  <si>
    <t>BIHAR STATE POWER TRANSMISSION COMPANY LIMITED</t>
  </si>
  <si>
    <t>Current Year FY 2021-22   (upto Sep'21)</t>
  </si>
  <si>
    <t>upto Sep'21</t>
  </si>
  <si>
    <t>Current Years (FY 2021-22)</t>
  </si>
  <si>
    <t>Nill</t>
  </si>
  <si>
    <t>Construction of 220 KV D/C Sitamarhi (new) GSS - Motipur (new) GSS on Twin Moose. &amp; Construction of 132 KV D/C Sitamarhi (new) GSS - Runnisaidpur  GSS on Twin Moose. NIT 61/PR/BSPTCL/2018</t>
  </si>
  <si>
    <t>Construction of 02 Nos. 132 KV line bay at  GSS Runnisaidpur &amp; 02 Nos. 220KV line bays at GSS Motipur against NIT No.- 76/PR/BSPTCL/2018.</t>
  </si>
  <si>
    <t>21.01.2019</t>
  </si>
  <si>
    <t>For Construction of 132 KV D/C Transmission line by making LILO arrangment of 132 Kv DCSS Benipatti-Pupri Transmission Line at Sitamarhi (New) GSS with ACSR Panther Conductor (Line Length-31 RKM) and Construction of LILO of  Both Circuit of bettiah- Raxaul 132 Kv DC Transmission line at Raxaul (new) GSS with ACSR Panther conductor (Line Length-10 RKM) NIT 76/PR/BSPTCL/2018</t>
  </si>
  <si>
    <t>14.01.2019</t>
  </si>
  <si>
    <t>Construction of 2nd circuit stringing of 220KV DCSS Darbhanga-Samastipur Transmission Line with ACSR Zebra Conductor NIT 72/PR/BSPTCL/2018</t>
  </si>
  <si>
    <t>15.01.2019</t>
  </si>
  <si>
    <t>Construction of (i) LILO of Barh-Patna 400 KV D/C ( QUAD) Transmission line at Bakhtiyarpur ( New) (10RKM) (ii) Bakhtiyarpur ( New) - Sheikhpura
( New) 220 KV D/C Transmission Line (51 RKM) (iii) Bakhtiyarpur (New) Hathidah(New) 220 KV D/C Transmission Line (52 RKM) and (iv) Bakhtiyarpur ( New)    Fathua (BSPTCL) 220 KV D/C Transmission Line (28 RKM) under state plan[ 80:20] against NIT No.- 77/PR/BSPTC/18</t>
  </si>
  <si>
    <t>Construction of 2 x160+2x50 MVA ,220/132/33KV GSS Laukahi, NIT-33/2014,</t>
  </si>
  <si>
    <t>Construction of 220/132/33KV GSS Kishanganj (new) with bay extensions against NIT No. 03/PR/BSPTCL/2014</t>
  </si>
  <si>
    <t>Procurement and Construction for Re-conductoring of 06 nos.132KV Transmission lines against 31/Package K-1/ BSPTCL/ADB/16</t>
  </si>
  <si>
    <t>Procurement and Construction for Re-conductoring of 06 nos.132KV Transmission lines against 33/Package M-1/BSPTCL/ADB/16</t>
  </si>
  <si>
    <t>i)LILO of one ckt. At north of muthani railway station from 132KV D/C Pusouli (New) – Mohania Trans. Line to proposed 3x50 MV Ramgarh GSS (BSPTCL of route length 20Km.
ii) LILO of 132KV Line Biharsharif – Nawada D/C Trans. Line – Warsaliganj (New) GSS of Route length 40Kms.iii) LILO of one Ckt. Of 132KV Chhapra – Siwan Transmission Line – Siwan (New) GSS near Darauli of route length 45Kms. Turnkey basis under Under State Plan., NIT-83/2015</t>
  </si>
  <si>
    <t>3X50 MVA,132/33 KV  GSS Kerpa</t>
  </si>
  <si>
    <t>Construction of 132KV  Lines and 33KV Lines</t>
  </si>
  <si>
    <t>Procurement and Construction of 33KV line bays in form of Indoor VCB panels at 14 nos. of AIS Sub-station under TransmissionCircle DOS</t>
  </si>
  <si>
    <t>construction of 132/33 KV 3x50 MVA Jamui and Banka GSS against NIT 86/2015</t>
  </si>
  <si>
    <t>Construction of 132KV D/C Sonenagar (New)-Aurangabad Transmission Line.NIT-59/2014,Pkg B</t>
  </si>
  <si>
    <t>Construction of 132KV D/C Ara- Jagdishpur Transmission Line., NIT-59/2014 C</t>
  </si>
  <si>
    <t>Replacement of 23 nos. 50 MVA and 01 no 20 MVA transformer by 24 nos. 132/33 KV, 80   MVAtransformer along with associated bay work in existing GSS of Patna, NIT-34/2016</t>
  </si>
  <si>
    <t>Construction of (2X160 MVA+2X50 MVA),220/132/33 KV GSS at Bihta(Patna) &amp; associated 220,132 &amp; 33 kv bays extension at remote end on turnkey basis, NIT-62/2013</t>
  </si>
  <si>
    <t>Re-conductoring of following transmission lines with HTLS (equivalent to   Panther) except GAP conductor on Turnkey Basis as detailed below : -
1.  132 KV S/C Kahalgaon (BSPTCL)- Kahalgaon (NTPC) trans. Line  of route length 7 Km.
2.  132 KV S/C Kahalgaon (BSPTCL)-Sabour trans. Line of route length 27 Km.NIT No.-113/PR/BSPTCl/2018</t>
  </si>
  <si>
    <t>Construction of 220/132/33 KV (2x200 MVA + 3x50MVA) GSS Karmnasha (new) NIT No.- 38/PR/BSPTCL/2018</t>
  </si>
  <si>
    <t>Work of Assembly of 50 MVA Transformer including all work of erection ,testing and Commissioning'at GSS Purnea, Arraia, Dhamdaha, Dalsinghsarai, Pandaul, Madhubani, NIT-26/2015</t>
  </si>
  <si>
    <t>12.06.2016</t>
  </si>
  <si>
    <t>Construction of 08 nos. 132 KV Line bays  each at -Belaganj 01no. , Hulasganj-01 no., Jehanabad -01 no., Tekari-02 no., Ataula-01 no. ,Chandauti-01 no., Nawada-01 no. under Trans. Circle, Gaya for 2nd ckt. stringing of existing 132  KV DCSS, NIT-01/2016</t>
  </si>
  <si>
    <t>Second circuit stringing of Existing 03 Nos. of 132 kV Double Circuit Single Strung Transmission Lines under Transmission Circle, Purnea on Turnkey Basis  against NIT No. 76/PR/BSPTCL/2015</t>
  </si>
  <si>
    <t>Line shifting of tower of 132 KV S/C Purnea-Dhamdaha Transmission Line due to construction of Goat Rearing and breeding Centre at maranga, Purnea, NIT-135/2018</t>
  </si>
  <si>
    <t>Total capacity of Substations (MVA)</t>
  </si>
  <si>
    <t>Transmission line length in ckt/km</t>
  </si>
  <si>
    <t>PETITION FORMATS</t>
  </si>
  <si>
    <t>Truing-up for FY 2020-21, Annual Performance Review (APR) for FY 2021-22 And Business Plan and Aggregate Revenue Requirement (ARR) for the Control Period from FY 2022-23 to FY 2024-25 and Tariff for FY 2022-23 For Bihar State Power Transmission Company Limited</t>
  </si>
  <si>
    <t>INDEX OF FORMATS S1 TO P12 FOR ARR &amp; TARIFF FILING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</si>
</sst>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6">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_ * #,##0_ ;_ * \-#,##0_ ;_ * &quot;-&quot;_ ;_ @_ "/>
    <numFmt numFmtId="165" formatCode="_ * #,##0.00_ ;_ * \-#,##0.00_ ;_ * &quot;-&quot;??_ ;_ @_ "/>
    <numFmt numFmtId="166" formatCode="_-* #,##0.00_-;\-* #,##0.00_-;_-* &quot;-&quot;??_-;_-@_-"/>
    <numFmt numFmtId="167" formatCode="0.00_)"/>
    <numFmt numFmtId="168" formatCode="_-* #,##0_-;\-* #,##0_-;_-* &quot;-&quot;??_-;_-@_-"/>
    <numFmt numFmtId="169" formatCode="0.0"/>
    <numFmt numFmtId="170" formatCode="0_)"/>
    <numFmt numFmtId="171" formatCode="_(* #,##0_);_(* \(#,##0\);_(* &quot;-&quot;??_);_(@_)"/>
    <numFmt numFmtId="172" formatCode="0.0%"/>
    <numFmt numFmtId="173" formatCode="0.0000"/>
    <numFmt numFmtId="174" formatCode="0.000"/>
    <numFmt numFmtId="175" formatCode="\-"/>
    <numFmt numFmtId="176" formatCode="#,##0.000_);\(#,##0.000\)"/>
    <numFmt numFmtId="177" formatCode="00.000"/>
    <numFmt numFmtId="178" formatCode="&quot;?&quot;#,##0;&quot;?&quot;\-#,##0"/>
    <numFmt numFmtId="179" formatCode="_-* #,##0_-;\-* #,##0_-;_-* &quot;-&quot;_-;_-@_-"/>
    <numFmt numFmtId="180" formatCode="_ &quot;\&quot;* #,##0_ ;_ &quot;\&quot;* \-#,##0_ ;_ &quot;\&quot;* &quot;-&quot;_ ;_ @_ "/>
    <numFmt numFmtId="181" formatCode="_ &quot;\&quot;* #,##0.00_ ;_ &quot;\&quot;* \-#,##0.00_ ;_ &quot;\&quot;* &quot;-&quot;??_ ;_ @_ "/>
    <numFmt numFmtId="182" formatCode="General_)"/>
    <numFmt numFmtId="183" formatCode="#,##0.0_);\(#,##0.0\)"/>
    <numFmt numFmtId="184" formatCode="_(* #,##0.0_);_(* \(#,##0.00\);_(* &quot;-&quot;??_);_(@_)"/>
    <numFmt numFmtId="185" formatCode="&quot;$&quot;#,\);\(&quot;$&quot;#,##0\)"/>
    <numFmt numFmtId="186" formatCode="#,##0.00\ &quot;F&quot;;\-#,##0.00\ &quot;F&quot;"/>
    <numFmt numFmtId="187" formatCode="#,##0;\(#,##0\)"/>
    <numFmt numFmtId="188" formatCode="\$#,##0\ ;\(\$#,##0\)"/>
    <numFmt numFmtId="189" formatCode="dd\-mmm\-yy_)"/>
    <numFmt numFmtId="190" formatCode="_-[$€-2]* #,##0.00_-;\-[$€-2]* #,##0.00_-;_-[$€-2]* &quot;-&quot;??_-"/>
    <numFmt numFmtId="191" formatCode="_-* #,##0.00\ _F_-;\-* #,##0.00\ _F_-;_-* &quot;-&quot;??\ _F_-;_-@_-"/>
    <numFmt numFmtId="192" formatCode="\60\4\7\:"/>
    <numFmt numFmtId="193" formatCode="mm/dd/yy"/>
    <numFmt numFmtId="194" formatCode="&quot;$&quot;#,\);\(&quot;$&quot;#,\)"/>
    <numFmt numFmtId="195" formatCode="&quot;$&quot;#,;\(&quot;$&quot;#,\)"/>
    <numFmt numFmtId="196" formatCode="&quot;\&quot;#,##0.00;[Red]&quot;\&quot;\-#,##0.00"/>
    <numFmt numFmtId="197" formatCode="&quot;\&quot;#,##0;[Red]&quot;\&quot;\-#,##0"/>
    <numFmt numFmtId="198" formatCode="_-&quot;$&quot;* #,##0_-;\-&quot;$&quot;* #,##0_-;_-&quot;$&quot;* &quot;-&quot;_-;_-@_-"/>
    <numFmt numFmtId="199" formatCode="_-&quot;$&quot;* #,##0.00_-;\-&quot;$&quot;* #,##0.00_-;_-&quot;$&quot;* &quot;-&quot;??_-;_-@_-"/>
    <numFmt numFmtId="200" formatCode="d\-mmm\-yyyy"/>
    <numFmt numFmtId="201" formatCode="[$-409]mmm\-yy;@"/>
    <numFmt numFmtId="202" formatCode="&quot;&quot;0.00"/>
    <numFmt numFmtId="203" formatCode="0_);[Red]\(0\)"/>
    <numFmt numFmtId="204" formatCode="0.000%"/>
    <numFmt numFmtId="205" formatCode="_(* #,##0.000_);_(* \(#,##0.000\);_(* &quot;-&quot;??_);_(@_)"/>
    <numFmt numFmtId="206" formatCode="_(* #,##0.0000_);_(* \(#,##0.0000\);_(* &quot;-&quot;??_);_(@_)"/>
    <numFmt numFmtId="207" formatCode="0.000000"/>
    <numFmt numFmtId="208" formatCode="_(* #,##0.00000_);_(* \(#,##0.00000\);_(* &quot;-&quot;??_);_(@_)"/>
    <numFmt numFmtId="209" formatCode="&quot;&quot;0.00&quot; Cr&quot;"/>
    <numFmt numFmtId="210" formatCode="&quot;&quot;0.00&quot; Dr&quot;"/>
    <numFmt numFmtId="211" formatCode="&quot;&quot;0"/>
    <numFmt numFmtId="212" formatCode="0.00000"/>
    <numFmt numFmtId="213" formatCode="dd\.mm\.yyyy;@"/>
    <numFmt numFmtId="214" formatCode="dd\.mm\.yy;@"/>
  </numFmts>
  <fonts count="240">
    <font>
      <sz val="11"/>
      <color theme="1"/>
      <name val="Calibri"/>
      <family val="2"/>
      <scheme val="minor"/>
    </font>
    <font>
      <sz val="10"/>
      <name val="Arial"/>
      <family val="2"/>
    </font>
    <font>
      <b/>
      <sz val="12"/>
      <name val="Arial"/>
      <family val="2"/>
    </font>
    <font>
      <sz val="12"/>
      <name val="Tms Rmn"/>
    </font>
    <font>
      <sz val="10"/>
      <name val="Helv"/>
    </font>
    <font>
      <sz val="8"/>
      <name val="Arial"/>
      <family val="2"/>
    </font>
    <font>
      <sz val="7"/>
      <name val="Small Fonts"/>
      <family val="2"/>
    </font>
    <font>
      <b/>
      <i/>
      <sz val="16"/>
      <name val="Helv"/>
    </font>
    <font>
      <sz val="10"/>
      <name val="Arial"/>
      <family val="2"/>
    </font>
    <font>
      <sz val="11"/>
      <name val="Calibri"/>
      <family val="2"/>
      <scheme val="minor"/>
    </font>
    <font>
      <b/>
      <sz val="11"/>
      <color theme="1"/>
      <name val="Calibri"/>
      <family val="2"/>
      <scheme val="minor"/>
    </font>
    <font>
      <sz val="11"/>
      <color theme="1"/>
      <name val="Calibri"/>
      <family val="2"/>
      <scheme val="minor"/>
    </font>
    <font>
      <b/>
      <u/>
      <sz val="11"/>
      <name val="Calibri"/>
      <family val="2"/>
      <scheme val="minor"/>
    </font>
    <font>
      <b/>
      <sz val="11"/>
      <name val="Calibri"/>
      <family val="2"/>
      <scheme val="minor"/>
    </font>
    <font>
      <b/>
      <sz val="11"/>
      <color indexed="9"/>
      <name val="Calibri"/>
      <family val="2"/>
      <scheme val="minor"/>
    </font>
    <font>
      <u/>
      <sz val="11"/>
      <name val="Calibri"/>
      <family val="2"/>
      <scheme val="minor"/>
    </font>
    <font>
      <u/>
      <sz val="11"/>
      <color theme="10"/>
      <name val="Calibri"/>
      <family val="2"/>
    </font>
    <font>
      <sz val="12"/>
      <name val="Arial"/>
      <family val="2"/>
    </font>
    <font>
      <sz val="10"/>
      <name val="Times New Roman"/>
      <family val="1"/>
    </font>
    <font>
      <i/>
      <sz val="8"/>
      <color indexed="8"/>
      <name val="Microsoft Sans Serif"/>
      <family val="2"/>
    </font>
    <font>
      <sz val="12"/>
      <name val="VNtimes new roman"/>
    </font>
    <font>
      <sz val="11"/>
      <name val="??"/>
      <family val="3"/>
    </font>
    <font>
      <sz val="14"/>
      <name val="??"/>
      <family val="3"/>
    </font>
    <font>
      <sz val="12"/>
      <name val="????"/>
      <charset val="136"/>
    </font>
    <font>
      <sz val="12"/>
      <name val="???"/>
      <family val="3"/>
    </font>
    <font>
      <sz val="10"/>
      <name val="???"/>
      <family val="3"/>
      <charset val="129"/>
    </font>
    <font>
      <sz val="10"/>
      <name val="Arial"/>
      <family val="2"/>
      <charset val="238"/>
    </font>
    <font>
      <sz val="10"/>
      <name val="Helv"/>
      <charset val="204"/>
    </font>
    <font>
      <sz val="10"/>
      <name val="Arial"/>
      <family val="2"/>
      <charset val="163"/>
    </font>
    <font>
      <sz val="12"/>
      <name val="Times New Roman"/>
      <family val="1"/>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¼¸²Ã¼"/>
      <family val="3"/>
      <charset val="129"/>
    </font>
    <font>
      <sz val="12"/>
      <name val="¹UAAA¼"/>
      <family val="3"/>
      <charset val="129"/>
    </font>
    <font>
      <b/>
      <sz val="10"/>
      <name val="MS Sans Serif"/>
      <family val="2"/>
    </font>
    <font>
      <sz val="12"/>
      <name val="µ¸¿òÃ¼"/>
      <family val="3"/>
      <charset val="129"/>
    </font>
    <font>
      <sz val="10"/>
      <color indexed="8"/>
      <name val="Arial"/>
      <family val="2"/>
    </font>
    <font>
      <sz val="9"/>
      <name val="Times New Roman"/>
      <family val="1"/>
    </font>
    <font>
      <sz val="10"/>
      <name val="Courier"/>
      <family val="3"/>
    </font>
    <font>
      <b/>
      <sz val="10"/>
      <name val="Helv"/>
    </font>
    <font>
      <sz val="10"/>
      <name val="VNI-Aptima"/>
    </font>
    <font>
      <sz val="10"/>
      <name val="Verdana"/>
      <family val="2"/>
    </font>
    <font>
      <sz val="8"/>
      <name val="Tahoma"/>
      <family val="2"/>
    </font>
    <font>
      <sz val="14"/>
      <name val="AngsanaUPC"/>
      <family val="1"/>
      <charset val="222"/>
    </font>
    <font>
      <b/>
      <sz val="10"/>
      <color indexed="50"/>
      <name val="Arial"/>
      <family val="2"/>
    </font>
    <font>
      <sz val="10"/>
      <name val="MS Serif"/>
      <family val="1"/>
    </font>
    <font>
      <b/>
      <sz val="10"/>
      <color indexed="48"/>
      <name val="Arial"/>
      <family val="2"/>
    </font>
    <font>
      <sz val="10"/>
      <name val="MS Sans Serif"/>
      <family val="2"/>
    </font>
    <font>
      <b/>
      <sz val="10"/>
      <color indexed="10"/>
      <name val="Arial"/>
      <family val="2"/>
    </font>
    <font>
      <sz val="10"/>
      <color indexed="16"/>
      <name val="MS Serif"/>
      <family val="1"/>
    </font>
    <font>
      <u/>
      <sz val="10"/>
      <color indexed="36"/>
      <name val="Arial"/>
      <family val="2"/>
    </font>
    <font>
      <b/>
      <sz val="12"/>
      <name val=".VnBook-AntiquaH"/>
      <family val="2"/>
    </font>
    <font>
      <b/>
      <sz val="12"/>
      <name val="Helv"/>
    </font>
    <font>
      <b/>
      <sz val="10"/>
      <name val=".VnTime"/>
      <family val="2"/>
    </font>
    <font>
      <sz val="8"/>
      <name val="Microsoft Sans Serif"/>
      <family val="2"/>
    </font>
    <font>
      <b/>
      <sz val="11"/>
      <name val="Helv"/>
    </font>
    <font>
      <b/>
      <sz val="12"/>
      <name val="VN-NTime"/>
    </font>
    <font>
      <sz val="12"/>
      <name val="바탕체"/>
      <family val="1"/>
      <charset val="129"/>
    </font>
    <font>
      <b/>
      <sz val="11"/>
      <name val="Arial"/>
      <family val="2"/>
    </font>
    <font>
      <sz val="9"/>
      <name val="Arial"/>
      <family val="2"/>
    </font>
    <font>
      <sz val="12"/>
      <name val="Helv"/>
      <family val="2"/>
    </font>
    <font>
      <sz val="8"/>
      <name val="Helv"/>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9"/>
      <name val="Arial"/>
      <family val="2"/>
    </font>
    <font>
      <b/>
      <sz val="9"/>
      <color indexed="48"/>
      <name val="Arial"/>
      <family val="2"/>
    </font>
    <font>
      <b/>
      <sz val="9"/>
      <color indexed="10"/>
      <name val="Arial"/>
      <family val="2"/>
    </font>
    <font>
      <b/>
      <sz val="9"/>
      <color indexed="50"/>
      <name val="Arial"/>
      <family val="2"/>
    </font>
    <font>
      <b/>
      <sz val="9"/>
      <color indexed="8"/>
      <name val="Arial"/>
      <family val="2"/>
    </font>
    <font>
      <b/>
      <sz val="8"/>
      <color indexed="8"/>
      <name val="Helv"/>
    </font>
    <font>
      <sz val="12"/>
      <name val="VNTime"/>
    </font>
    <font>
      <sz val="10"/>
      <name val="VNtimes new roman"/>
    </font>
    <font>
      <b/>
      <sz val="8"/>
      <name val="VN Helvetica"/>
    </font>
    <font>
      <b/>
      <sz val="12"/>
      <name val=".VnTime"/>
      <family val="2"/>
    </font>
    <font>
      <b/>
      <sz val="10"/>
      <name val="VN AvantGBook"/>
    </font>
    <font>
      <b/>
      <sz val="16"/>
      <name val=".VnTime"/>
      <family val="2"/>
    </font>
    <font>
      <sz val="10"/>
      <name val=".VnTime"/>
      <family val="2"/>
    </font>
    <font>
      <sz val="9"/>
      <name val=".VnTime"/>
      <family val="2"/>
    </font>
    <font>
      <sz val="14"/>
      <name val=".VnArial"/>
      <family val="2"/>
    </font>
    <font>
      <sz val="10"/>
      <name val="Arial Cyr"/>
      <charset val="204"/>
    </font>
    <font>
      <sz val="14"/>
      <name val="뼻뮝"/>
      <family val="3"/>
      <charset val="129"/>
    </font>
    <font>
      <sz val="12"/>
      <name val="바탕체"/>
      <family val="3"/>
    </font>
    <font>
      <sz val="12"/>
      <name val="뼻뮝"/>
      <family val="1"/>
      <charset val="129"/>
    </font>
    <font>
      <sz val="12"/>
      <name val="宋体"/>
      <charset val="134"/>
    </font>
    <font>
      <sz val="10"/>
      <name val="Helv"/>
      <family val="2"/>
    </font>
    <font>
      <sz val="11"/>
      <name val="돋움"/>
      <family val="3"/>
      <charset val="129"/>
    </font>
    <font>
      <sz val="10"/>
      <name val="굴림체"/>
      <family val="3"/>
      <charset val="129"/>
    </font>
    <font>
      <sz val="12"/>
      <name val="Courier"/>
      <family val="3"/>
    </font>
    <font>
      <sz val="10"/>
      <name val=" "/>
      <family val="1"/>
      <charset val="136"/>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62"/>
      <name val="Arial"/>
      <family val="2"/>
    </font>
    <font>
      <sz val="8"/>
      <color indexed="14"/>
      <name val="Arial"/>
      <family val="2"/>
    </font>
    <font>
      <sz val="8"/>
      <color theme="1"/>
      <name val="Bookman Old Style"/>
      <family val="1"/>
    </font>
    <font>
      <b/>
      <sz val="11"/>
      <color theme="1"/>
      <name val="Bookman Old Style"/>
      <family val="1"/>
    </font>
    <font>
      <b/>
      <sz val="8"/>
      <color theme="1"/>
      <name val="Bookman Old Style"/>
      <family val="1"/>
    </font>
    <font>
      <sz val="11"/>
      <color rgb="FF000000"/>
      <name val="Calibri"/>
      <family val="2"/>
      <scheme val="minor"/>
    </font>
    <font>
      <sz val="11"/>
      <color theme="1"/>
      <name val="Bookman Old Style"/>
      <family val="1"/>
    </font>
    <font>
      <b/>
      <sz val="14"/>
      <name val="Calibri"/>
      <family val="2"/>
      <scheme val="minor"/>
    </font>
    <font>
      <b/>
      <sz val="12"/>
      <name val="Bookman Old Style"/>
      <family val="1"/>
    </font>
    <font>
      <sz val="12"/>
      <name val="Bookman Old Style"/>
      <family val="1"/>
    </font>
    <font>
      <b/>
      <u/>
      <sz val="11"/>
      <name val="Bookman Old Style"/>
      <family val="1"/>
    </font>
    <font>
      <b/>
      <sz val="11"/>
      <name val="Bookman Old Style"/>
      <family val="1"/>
    </font>
    <font>
      <sz val="11"/>
      <name val="Bookman Old Style"/>
      <family val="1"/>
    </font>
    <font>
      <b/>
      <u/>
      <sz val="12"/>
      <name val="Bookman Old Style"/>
      <family val="1"/>
    </font>
    <font>
      <sz val="12"/>
      <color theme="1"/>
      <name val="Bookman Old Style"/>
      <family val="1"/>
    </font>
    <font>
      <b/>
      <sz val="12"/>
      <color theme="1"/>
      <name val="Bookman Old Style"/>
      <family val="1"/>
    </font>
    <font>
      <b/>
      <sz val="13"/>
      <name val="Bookman Old Style"/>
      <family val="1"/>
    </font>
    <font>
      <b/>
      <u/>
      <sz val="13"/>
      <name val="Bookman Old Style"/>
      <family val="1"/>
    </font>
    <font>
      <sz val="13"/>
      <color theme="1"/>
      <name val="Bookman Old Style"/>
      <family val="1"/>
    </font>
    <font>
      <sz val="13"/>
      <name val="Bookman Old Style"/>
      <family val="1"/>
    </font>
    <font>
      <b/>
      <sz val="13"/>
      <color theme="1"/>
      <name val="Bookman Old Style"/>
      <family val="1"/>
    </font>
    <font>
      <u/>
      <sz val="11"/>
      <color theme="1"/>
      <name val="Bookman Old Style"/>
      <family val="1"/>
    </font>
    <font>
      <sz val="11"/>
      <color indexed="8"/>
      <name val="Bookman Old Style"/>
      <family val="1"/>
    </font>
    <font>
      <b/>
      <sz val="11"/>
      <color theme="6" tint="0.59999389629810485"/>
      <name val="Bookman Old Style"/>
      <family val="1"/>
    </font>
    <font>
      <sz val="12"/>
      <color indexed="8"/>
      <name val="Bookman Old Style"/>
      <family val="1"/>
    </font>
    <font>
      <b/>
      <sz val="12"/>
      <color indexed="8"/>
      <name val="Bookman Old Style"/>
      <family val="1"/>
    </font>
    <font>
      <sz val="12"/>
      <color theme="0"/>
      <name val="Bookman Old Style"/>
      <family val="1"/>
    </font>
    <font>
      <u/>
      <sz val="13"/>
      <color theme="1"/>
      <name val="Bookman Old Style"/>
      <family val="1"/>
    </font>
    <font>
      <sz val="11"/>
      <color theme="6" tint="0.59999389629810485"/>
      <name val="Bookman Old Style"/>
      <family val="1"/>
    </font>
    <font>
      <sz val="12"/>
      <color theme="6" tint="0.59999389629810485"/>
      <name val="Bookman Old Style"/>
      <family val="1"/>
    </font>
    <font>
      <b/>
      <vertAlign val="superscript"/>
      <sz val="11"/>
      <name val="Bookman Old Style"/>
      <family val="1"/>
    </font>
    <font>
      <vertAlign val="superscript"/>
      <sz val="11"/>
      <name val="Bookman Old Style"/>
      <family val="1"/>
    </font>
    <font>
      <b/>
      <u/>
      <sz val="13"/>
      <color theme="1"/>
      <name val="Bookman Old Style"/>
      <family val="1"/>
    </font>
    <font>
      <sz val="11"/>
      <color rgb="FFFFFFFF"/>
      <name val="Calibri"/>
      <family val="2"/>
      <scheme val="minor"/>
    </font>
    <font>
      <b/>
      <sz val="12"/>
      <name val="Times New Roman"/>
      <family val="1"/>
    </font>
    <font>
      <sz val="12"/>
      <color rgb="FF000000"/>
      <name val="Times New Roman"/>
      <family val="2"/>
    </font>
    <font>
      <b/>
      <sz val="12"/>
      <color rgb="FF000000"/>
      <name val="Times New Roman"/>
      <family val="2"/>
    </font>
    <font>
      <sz val="10"/>
      <color theme="1"/>
      <name val="Bookman Old Style"/>
      <family val="1"/>
    </font>
    <font>
      <b/>
      <sz val="14"/>
      <color theme="1"/>
      <name val="Calibri"/>
      <family val="2"/>
      <scheme val="minor"/>
    </font>
    <font>
      <sz val="10"/>
      <color theme="1"/>
      <name val="Calibri"/>
      <family val="2"/>
      <scheme val="minor"/>
    </font>
    <font>
      <sz val="11"/>
      <name val="Times New Roman"/>
      <family val="1"/>
    </font>
    <font>
      <sz val="11"/>
      <color theme="1"/>
      <name val="Times New Roman"/>
      <family val="1"/>
    </font>
    <font>
      <b/>
      <sz val="10"/>
      <color theme="1"/>
      <name val="Calibri"/>
      <family val="2"/>
      <scheme val="minor"/>
    </font>
    <font>
      <sz val="10"/>
      <color theme="1"/>
      <name val="Times New Roman"/>
      <family val="1"/>
    </font>
    <font>
      <sz val="14"/>
      <color theme="1"/>
      <name val="Calibri"/>
      <family val="2"/>
      <scheme val="minor"/>
    </font>
    <font>
      <b/>
      <sz val="16"/>
      <color theme="1"/>
      <name val="Calibri"/>
      <family val="2"/>
      <scheme val="minor"/>
    </font>
    <font>
      <sz val="12"/>
      <color theme="1"/>
      <name val="Calibri"/>
      <family val="2"/>
      <scheme val="minor"/>
    </font>
    <font>
      <sz val="16"/>
      <color theme="1"/>
      <name val="Calibri"/>
      <family val="2"/>
      <scheme val="minor"/>
    </font>
    <font>
      <sz val="14"/>
      <name val="Calibri"/>
      <family val="2"/>
      <scheme val="minor"/>
    </font>
    <font>
      <i/>
      <sz val="12"/>
      <name val="Bookman Old Style"/>
      <family val="1"/>
    </font>
    <font>
      <b/>
      <u/>
      <sz val="12"/>
      <color theme="1"/>
      <name val="Bookman Old Style"/>
      <family val="1"/>
    </font>
    <font>
      <sz val="9"/>
      <color indexed="81"/>
      <name val="Tahoma"/>
      <family val="2"/>
    </font>
    <font>
      <sz val="11"/>
      <color theme="1"/>
      <name val="Calibri"/>
      <family val="2"/>
    </font>
    <font>
      <sz val="11"/>
      <color indexed="8"/>
      <name val="Calibri"/>
      <family val="2"/>
      <charset val="134"/>
    </font>
    <font>
      <sz val="12"/>
      <color rgb="FFD7E4BC"/>
      <name val="Bookman Old Style"/>
      <family val="1"/>
    </font>
    <font>
      <b/>
      <sz val="9"/>
      <color indexed="81"/>
      <name val="Tahoma"/>
      <family val="2"/>
    </font>
    <font>
      <b/>
      <sz val="11"/>
      <color theme="1" tint="4.9989318521683403E-2"/>
      <name val="Calibri"/>
      <family val="2"/>
      <scheme val="minor"/>
    </font>
    <font>
      <sz val="11"/>
      <color theme="1" tint="4.9989318521683403E-2"/>
      <name val="Calibri"/>
      <family val="2"/>
      <scheme val="minor"/>
    </font>
    <font>
      <sz val="11"/>
      <color rgb="FFFF0000"/>
      <name val="Calibri"/>
      <family val="2"/>
      <scheme val="minor"/>
    </font>
    <font>
      <u/>
      <sz val="11"/>
      <name val="Bookman Old Style"/>
      <family val="1"/>
    </font>
    <font>
      <b/>
      <u/>
      <sz val="11"/>
      <color theme="1"/>
      <name val="Bookman Old Style"/>
      <family val="1"/>
    </font>
    <font>
      <sz val="9"/>
      <color theme="1"/>
      <name val="Calibri"/>
      <family val="2"/>
      <scheme val="minor"/>
    </font>
    <font>
      <sz val="8"/>
      <color rgb="FF000000"/>
      <name val="Calibri"/>
      <family val="2"/>
      <scheme val="minor"/>
    </font>
    <font>
      <b/>
      <sz val="8"/>
      <color rgb="FF000000"/>
      <name val="Calibri"/>
      <family val="2"/>
      <scheme val="minor"/>
    </font>
    <font>
      <sz val="12"/>
      <name val="Calibri"/>
      <family val="2"/>
      <scheme val="minor"/>
    </font>
    <font>
      <sz val="11"/>
      <color rgb="FF000000"/>
      <name val="Calibri"/>
      <family val="2"/>
    </font>
    <font>
      <sz val="11"/>
      <color rgb="FF353535"/>
      <name val="Arial"/>
      <family val="2"/>
    </font>
    <font>
      <sz val="11"/>
      <color rgb="FF000000"/>
      <name val="Book Antiqua"/>
      <family val="1"/>
    </font>
    <font>
      <sz val="8.5"/>
      <color theme="1"/>
      <name val="Book Antiqua"/>
      <family val="1"/>
    </font>
    <font>
      <b/>
      <sz val="8.5"/>
      <color theme="1"/>
      <name val="Book Antiqua"/>
      <family val="1"/>
    </font>
    <font>
      <sz val="10"/>
      <color rgb="FF000000"/>
      <name val="Times New Roman"/>
      <family val="1"/>
    </font>
    <font>
      <b/>
      <sz val="10"/>
      <color theme="1"/>
      <name val="Times New Roman"/>
      <family val="1"/>
    </font>
    <font>
      <sz val="10"/>
      <color indexed="8"/>
      <name val="Calibri"/>
      <family val="2"/>
      <charset val="134"/>
    </font>
    <font>
      <sz val="10"/>
      <color indexed="8"/>
      <name val="Times New Roman"/>
      <family val="1"/>
    </font>
    <font>
      <sz val="11"/>
      <color indexed="8"/>
      <name val="Times New Roman"/>
      <family val="1"/>
    </font>
    <font>
      <b/>
      <sz val="10"/>
      <color indexed="8"/>
      <name val="Times New Roman"/>
      <family val="1"/>
    </font>
    <font>
      <b/>
      <sz val="10"/>
      <color indexed="8"/>
      <name val="Calibri"/>
      <family val="2"/>
      <charset val="134"/>
    </font>
    <font>
      <b/>
      <sz val="10"/>
      <color indexed="8"/>
      <name val="Calibri"/>
      <family val="2"/>
    </font>
    <font>
      <sz val="12"/>
      <color rgb="FF0D0D0D"/>
      <name val="Book Antiqua"/>
      <family val="1"/>
    </font>
    <font>
      <b/>
      <sz val="12"/>
      <color theme="1"/>
      <name val="Arial"/>
      <family val="2"/>
    </font>
    <font>
      <sz val="10"/>
      <color theme="1"/>
      <name val="Arial"/>
      <family val="2"/>
    </font>
    <font>
      <b/>
      <sz val="9"/>
      <color theme="1"/>
      <name val="Arial"/>
      <family val="2"/>
    </font>
    <font>
      <sz val="9"/>
      <color theme="1"/>
      <name val="Arial"/>
      <family val="2"/>
    </font>
    <font>
      <i/>
      <sz val="9"/>
      <color theme="1"/>
      <name val="Arial"/>
      <family val="2"/>
    </font>
    <font>
      <b/>
      <i/>
      <sz val="9"/>
      <color theme="1"/>
      <name val="Arial"/>
      <family val="2"/>
    </font>
    <font>
      <sz val="12"/>
      <color rgb="FFFF0000"/>
      <name val="Bookman Old Style"/>
      <family val="1"/>
    </font>
    <font>
      <sz val="11"/>
      <color theme="1"/>
      <name val="Book Antiqua"/>
      <family val="1"/>
    </font>
    <font>
      <sz val="11"/>
      <color rgb="FF0C0C0C"/>
      <name val="Times New Roman"/>
      <family val="1"/>
    </font>
    <font>
      <sz val="11"/>
      <color rgb="FF000000"/>
      <name val="Times New Roman"/>
      <family val="1"/>
    </font>
    <font>
      <sz val="10"/>
      <color rgb="FF0C0C0C"/>
      <name val="Times New Roman"/>
      <family val="1"/>
    </font>
    <font>
      <sz val="11"/>
      <color theme="1" tint="4.9989318521683403E-2"/>
      <name val="Times New Roman"/>
      <family val="1"/>
    </font>
    <font>
      <sz val="10"/>
      <color rgb="FF000000"/>
      <name val="Bookman Old Style"/>
      <family val="1"/>
    </font>
    <font>
      <b/>
      <sz val="11"/>
      <color theme="1"/>
      <name val="Book Antiqua"/>
      <family val="1"/>
    </font>
    <font>
      <b/>
      <sz val="10"/>
      <color theme="1"/>
      <name val="Book Antiqua"/>
      <family val="1"/>
    </font>
    <font>
      <sz val="8"/>
      <name val="Calibri"/>
      <family val="2"/>
      <scheme val="minor"/>
    </font>
    <font>
      <sz val="11"/>
      <color rgb="FFFF0000"/>
      <name val="Bookman Old Style"/>
      <family val="1"/>
    </font>
    <font>
      <sz val="11"/>
      <color rgb="FFFF0000"/>
      <name val="Book Antiqua"/>
      <family val="1"/>
    </font>
    <font>
      <sz val="11"/>
      <name val="Calibri"/>
      <family val="2"/>
    </font>
    <font>
      <b/>
      <u/>
      <sz val="16"/>
      <name val="Bookman Old Style"/>
      <family val="1"/>
    </font>
    <font>
      <u/>
      <sz val="16"/>
      <color theme="1"/>
      <name val="Bookman Old Style"/>
      <family val="1"/>
    </font>
    <font>
      <b/>
      <sz val="16"/>
      <name val="Bookman Old Style"/>
      <family val="1"/>
    </font>
    <font>
      <sz val="16"/>
      <name val="Bookman Old Style"/>
      <family val="1"/>
    </font>
    <font>
      <b/>
      <sz val="16"/>
      <color theme="1"/>
      <name val="Bookman Old Style"/>
      <family val="1"/>
    </font>
    <font>
      <sz val="16"/>
      <color indexed="8"/>
      <name val="Bookman Old Style"/>
      <family val="1"/>
    </font>
    <font>
      <b/>
      <sz val="16"/>
      <color indexed="8"/>
      <name val="Bookman Old Style"/>
      <family val="1"/>
    </font>
    <font>
      <sz val="16"/>
      <color theme="1"/>
      <name val="Bookman Old Style"/>
      <family val="1"/>
    </font>
    <font>
      <sz val="12"/>
      <color rgb="FF000000"/>
      <name val="Bookman Old Style"/>
      <family val="1"/>
    </font>
    <font>
      <sz val="10"/>
      <color theme="1"/>
      <name val="Verdana"/>
      <family val="2"/>
    </font>
    <font>
      <sz val="10"/>
      <color rgb="FF000000"/>
      <name val="Times New Roman"/>
      <family val="1"/>
    </font>
    <font>
      <b/>
      <sz val="10"/>
      <name val="Bookman Old Style"/>
      <family val="1"/>
    </font>
    <font>
      <sz val="14"/>
      <color theme="1"/>
      <name val="Bookman Old Style"/>
      <family val="1"/>
    </font>
    <font>
      <b/>
      <sz val="13"/>
      <color indexed="8"/>
      <name val="Bookman Old Style"/>
      <family val="1"/>
    </font>
    <font>
      <sz val="11"/>
      <name val="Book Antiqua"/>
      <family val="1"/>
    </font>
    <font>
      <b/>
      <sz val="11"/>
      <name val="Book Antiqua"/>
      <family val="1"/>
    </font>
    <font>
      <b/>
      <u/>
      <sz val="10"/>
      <name val="Bookman Old Style"/>
      <family val="1"/>
    </font>
    <font>
      <b/>
      <sz val="10"/>
      <color rgb="FF000000"/>
      <name val="Bookman Old Style"/>
      <family val="1"/>
    </font>
    <font>
      <sz val="10"/>
      <name val="Bookman Old Style"/>
      <family val="1"/>
    </font>
    <font>
      <b/>
      <sz val="8"/>
      <name val="Calibri"/>
      <family val="2"/>
      <scheme val="minor"/>
    </font>
    <font>
      <b/>
      <u/>
      <sz val="8"/>
      <name val="Calibri"/>
      <family val="2"/>
      <scheme val="minor"/>
    </font>
    <font>
      <sz val="8"/>
      <color theme="1"/>
      <name val="Calibri"/>
      <family val="2"/>
      <scheme val="minor"/>
    </font>
    <font>
      <b/>
      <i/>
      <sz val="8"/>
      <color rgb="FF000000"/>
      <name val="Calibri"/>
      <family val="2"/>
      <scheme val="minor"/>
    </font>
    <font>
      <b/>
      <i/>
      <sz val="8"/>
      <name val="Calibri"/>
      <family val="2"/>
      <scheme val="minor"/>
    </font>
    <font>
      <b/>
      <sz val="8"/>
      <color rgb="FFD6E3BB"/>
      <name val="Calibri"/>
      <family val="2"/>
      <scheme val="minor"/>
    </font>
    <font>
      <b/>
      <sz val="8"/>
      <color theme="1"/>
      <name val="Calibri"/>
      <family val="2"/>
      <scheme val="minor"/>
    </font>
    <font>
      <b/>
      <i/>
      <sz val="16"/>
      <name val="Bookman Old Style"/>
      <family val="1"/>
    </font>
    <font>
      <i/>
      <sz val="16"/>
      <name val="Bookman Old Style"/>
      <family val="1"/>
    </font>
    <font>
      <b/>
      <sz val="10"/>
      <name val="Times New Roman"/>
      <family val="1"/>
    </font>
    <font>
      <b/>
      <sz val="14"/>
      <color rgb="FF000000"/>
      <name val="Book Antiqua"/>
      <family val="1"/>
    </font>
    <font>
      <b/>
      <sz val="18"/>
      <color theme="1"/>
      <name val="Calibri"/>
      <family val="2"/>
      <scheme val="minor"/>
    </font>
  </fonts>
  <fills count="7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44"/>
        <bgColor indexed="64"/>
      </patternFill>
    </fill>
    <fill>
      <patternFill patternType="solid">
        <fgColor indexed="12"/>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7"/>
        <bgColor indexed="64"/>
      </patternFill>
    </fill>
    <fill>
      <patternFill patternType="solid">
        <fgColor indexed="9"/>
        <bgColor indexed="64"/>
      </patternFill>
    </fill>
    <fill>
      <patternFill patternType="solid">
        <fgColor indexed="40"/>
        <bgColor indexed="64"/>
      </patternFill>
    </fill>
    <fill>
      <patternFill patternType="mediumGray">
        <fgColor indexed="22"/>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40"/>
      </patternFill>
    </fill>
    <fill>
      <patternFill patternType="solid">
        <fgColor indexed="54"/>
      </patternFill>
    </fill>
    <fill>
      <patternFill patternType="solid">
        <fgColor indexed="23"/>
      </patternFill>
    </fill>
    <fill>
      <patternFill patternType="solid">
        <fgColor indexed="41"/>
      </patternFill>
    </fill>
    <fill>
      <patternFill patternType="solid">
        <fgColor indexed="9"/>
      </patternFill>
    </fill>
    <fill>
      <patternFill patternType="solid">
        <fgColor rgb="FFD7E4BC"/>
        <bgColor indexed="64"/>
      </patternFill>
    </fill>
    <fill>
      <patternFill patternType="solid">
        <fgColor rgb="FFDBEDF3"/>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2F2F2"/>
        <bgColor rgb="FFF2F2F2"/>
      </patternFill>
    </fill>
    <fill>
      <patternFill patternType="solid">
        <fgColor theme="9" tint="0.59999389629810485"/>
        <bgColor indexed="64"/>
      </patternFill>
    </fill>
  </fills>
  <borders count="176">
    <border>
      <left/>
      <right/>
      <top/>
      <bottom/>
      <diagonal/>
    </border>
    <border>
      <left/>
      <right style="thin">
        <color indexed="8"/>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uble">
        <color indexed="64"/>
      </top>
      <bottom style="hair">
        <color indexed="64"/>
      </bottom>
      <diagonal/>
    </border>
    <border>
      <left/>
      <right/>
      <top style="double">
        <color indexed="64"/>
      </top>
      <bottom style="double">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style="medium">
        <color indexed="0"/>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right/>
      <top style="thin">
        <color auto="1"/>
      </top>
      <bottom/>
      <diagonal/>
    </border>
    <border>
      <left style="thin">
        <color indexed="64"/>
      </left>
      <right style="thin">
        <color indexed="64"/>
      </right>
      <top style="thin">
        <color auto="1"/>
      </top>
      <bottom/>
      <diagonal/>
    </border>
    <border>
      <left/>
      <right/>
      <top style="thin">
        <color auto="1"/>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4"/>
      </top>
      <bottom style="thin">
        <color indexed="63"/>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right/>
      <top style="thin">
        <color auto="1"/>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style="thin">
        <color auto="1"/>
      </top>
      <bottom/>
      <diagonal/>
    </border>
    <border>
      <left style="thin">
        <color indexed="63"/>
      </left>
      <right style="thin">
        <color indexed="63"/>
      </right>
      <top style="thin">
        <color indexed="64"/>
      </top>
      <bottom style="thin">
        <color indexed="63"/>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right/>
      <top style="thin">
        <color auto="1"/>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right/>
      <top style="thin">
        <color auto="1"/>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4"/>
      </top>
      <bottom style="thin">
        <color indexed="63"/>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right/>
      <top style="thin">
        <color auto="1"/>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style="thin">
        <color auto="1"/>
      </top>
      <bottom/>
      <diagonal/>
    </border>
    <border>
      <left/>
      <right/>
      <top style="thin">
        <color auto="1"/>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4"/>
      </top>
      <bottom style="thin">
        <color indexed="63"/>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right/>
      <top style="thin">
        <color auto="1"/>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auto="1"/>
      </top>
      <bottom/>
      <diagonal/>
    </border>
    <border>
      <left style="thin">
        <color indexed="18"/>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right/>
      <top style="thin">
        <color auto="1"/>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4"/>
      </top>
      <bottom style="thin">
        <color indexed="63"/>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right/>
      <top style="thin">
        <color auto="1"/>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auto="1"/>
      </top>
      <bottom/>
      <diagonal/>
    </border>
    <border>
      <left/>
      <right/>
      <top style="thin">
        <color auto="1"/>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4"/>
      </top>
      <bottom style="thin">
        <color indexed="63"/>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right/>
      <top style="thin">
        <color auto="1"/>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rgb="FF000000"/>
      </bottom>
      <diagonal/>
    </border>
  </borders>
  <cellStyleXfs count="7160">
    <xf numFmtId="0" fontId="0" fillId="0" borderId="0"/>
    <xf numFmtId="0" fontId="1" fillId="0" borderId="0"/>
    <xf numFmtId="0" fontId="3" fillId="0" borderId="0" applyNumberFormat="0" applyFill="0" applyBorder="0" applyAlignment="0" applyProtection="0"/>
    <xf numFmtId="166" fontId="1" fillId="0" borderId="0" applyFont="0" applyFill="0" applyBorder="0" applyAlignment="0" applyProtection="0"/>
    <xf numFmtId="0" fontId="4" fillId="0" borderId="1"/>
    <xf numFmtId="166" fontId="8" fillId="0" borderId="0" applyFont="0" applyFill="0" applyBorder="0" applyAlignment="0" applyProtection="0"/>
    <xf numFmtId="0" fontId="4" fillId="0" borderId="1"/>
    <xf numFmtId="38" fontId="5" fillId="2" borderId="0" applyNumberFormat="0" applyBorder="0" applyAlignment="0" applyProtection="0"/>
    <xf numFmtId="0" fontId="2" fillId="0" borderId="2" applyNumberFormat="0" applyAlignment="0" applyProtection="0">
      <alignment horizontal="left" vertical="center"/>
    </xf>
    <xf numFmtId="0" fontId="2" fillId="0" borderId="3">
      <alignment horizontal="left" vertical="center"/>
    </xf>
    <xf numFmtId="10" fontId="5" fillId="3" borderId="4" applyNumberFormat="0" applyBorder="0" applyAlignment="0" applyProtection="0"/>
    <xf numFmtId="37" fontId="6" fillId="0" borderId="0"/>
    <xf numFmtId="167" fontId="7" fillId="0" borderId="0"/>
    <xf numFmtId="0" fontId="8" fillId="0" borderId="0"/>
    <xf numFmtId="9" fontId="1" fillId="0" borderId="0" applyFont="0" applyFill="0" applyBorder="0" applyAlignment="0" applyProtection="0"/>
    <xf numFmtId="10" fontId="1" fillId="0" borderId="0" applyFont="0" applyFill="0" applyBorder="0" applyAlignment="0" applyProtection="0"/>
    <xf numFmtId="0" fontId="8"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11"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0"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43" fontId="19" fillId="0" borderId="0" applyFont="0" applyFill="0" applyBorder="0" applyAlignment="0" applyProtection="0"/>
    <xf numFmtId="0" fontId="1" fillId="0" borderId="0"/>
    <xf numFmtId="0" fontId="1" fillId="0" borderId="0"/>
    <xf numFmtId="43" fontId="18" fillId="0" borderId="0" applyFont="0" applyFill="0" applyBorder="0" applyAlignment="0" applyProtection="0"/>
    <xf numFmtId="171" fontId="20" fillId="0" borderId="32" applyFont="0" applyBorder="0"/>
    <xf numFmtId="177" fontId="21" fillId="0" borderId="0" applyFont="0" applyFill="0" applyBorder="0" applyAlignment="0" applyProtection="0"/>
    <xf numFmtId="0" fontId="22" fillId="0" borderId="0" applyFont="0" applyFill="0" applyBorder="0" applyAlignment="0" applyProtection="0"/>
    <xf numFmtId="178" fontId="21" fillId="0" borderId="0" applyFont="0" applyFill="0" applyBorder="0" applyAlignment="0" applyProtection="0"/>
    <xf numFmtId="40" fontId="22" fillId="0" borderId="0" applyFont="0" applyFill="0" applyBorder="0" applyAlignment="0" applyProtection="0"/>
    <xf numFmtId="38" fontId="22" fillId="0" borderId="0" applyFont="0" applyFill="0" applyBorder="0" applyAlignment="0" applyProtection="0"/>
    <xf numFmtId="179" fontId="23" fillId="0" borderId="0" applyFont="0" applyFill="0" applyBorder="0" applyAlignment="0" applyProtection="0"/>
    <xf numFmtId="9" fontId="24" fillId="0" borderId="0" applyFont="0" applyFill="0" applyBorder="0" applyAlignment="0" applyProtection="0"/>
    <xf numFmtId="0" fontId="25" fillId="0" borderId="0"/>
    <xf numFmtId="0" fontId="26" fillId="0" borderId="0"/>
    <xf numFmtId="0" fontId="26" fillId="0" borderId="0"/>
    <xf numFmtId="0" fontId="26" fillId="0" borderId="0"/>
    <xf numFmtId="0" fontId="26"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8" fillId="0" borderId="16"/>
    <xf numFmtId="0" fontId="29" fillId="0" borderId="0" applyNumberFormat="0" applyFill="0" applyBorder="0" applyAlignment="0" applyProtection="0"/>
    <xf numFmtId="0" fontId="30" fillId="2" borderId="0"/>
    <xf numFmtId="0" fontId="31" fillId="2" borderId="0"/>
    <xf numFmtId="0" fontId="32" fillId="2" borderId="0"/>
    <xf numFmtId="0" fontId="33" fillId="0" borderId="0">
      <alignment wrapText="1"/>
    </xf>
    <xf numFmtId="180" fontId="34" fillId="0" borderId="0" applyFont="0" applyFill="0" applyBorder="0" applyAlignment="0" applyProtection="0"/>
    <xf numFmtId="0" fontId="35" fillId="0" borderId="0" applyFont="0" applyFill="0" applyBorder="0" applyAlignment="0" applyProtection="0"/>
    <xf numFmtId="181" fontId="34" fillId="0" borderId="0" applyFont="0" applyFill="0" applyBorder="0" applyAlignment="0" applyProtection="0"/>
    <xf numFmtId="0" fontId="35" fillId="0" borderId="0" applyFont="0" applyFill="0" applyBorder="0" applyAlignment="0" applyProtection="0"/>
    <xf numFmtId="41" fontId="34" fillId="0" borderId="0" applyFont="0" applyFill="0" applyBorder="0" applyAlignment="0" applyProtection="0"/>
    <xf numFmtId="0" fontId="35" fillId="0" borderId="0" applyFont="0" applyFill="0" applyBorder="0" applyAlignment="0" applyProtection="0"/>
    <xf numFmtId="43" fontId="34" fillId="0" borderId="0" applyFont="0" applyFill="0" applyBorder="0" applyAlignment="0" applyProtection="0"/>
    <xf numFmtId="0" fontId="35" fillId="0" borderId="0" applyFont="0" applyFill="0" applyBorder="0" applyAlignment="0" applyProtection="0"/>
    <xf numFmtId="5" fontId="36" fillId="0" borderId="22" applyAlignment="0" applyProtection="0"/>
    <xf numFmtId="0" fontId="35" fillId="0" borderId="0"/>
    <xf numFmtId="0" fontId="37" fillId="0" borderId="0"/>
    <xf numFmtId="0" fontId="35" fillId="0" borderId="0"/>
    <xf numFmtId="0" fontId="38" fillId="0" borderId="0" applyFill="0" applyBorder="0" applyAlignment="0"/>
    <xf numFmtId="182" fontId="39" fillId="0" borderId="0" applyFill="0" applyBorder="0" applyAlignment="0"/>
    <xf numFmtId="174" fontId="39" fillId="0" borderId="0" applyFill="0" applyBorder="0" applyAlignment="0"/>
    <xf numFmtId="183" fontId="40" fillId="0" borderId="0" applyFill="0" applyBorder="0" applyAlignment="0"/>
    <xf numFmtId="176" fontId="40" fillId="0" borderId="0" applyFill="0" applyBorder="0" applyAlignment="0"/>
    <xf numFmtId="184" fontId="39" fillId="0" borderId="0" applyFill="0" applyBorder="0" applyAlignment="0"/>
    <xf numFmtId="185" fontId="40" fillId="0" borderId="0" applyFill="0" applyBorder="0" applyAlignment="0"/>
    <xf numFmtId="182" fontId="39" fillId="0" borderId="0" applyFill="0" applyBorder="0" applyAlignment="0"/>
    <xf numFmtId="0" fontId="41" fillId="0" borderId="0"/>
    <xf numFmtId="1" fontId="42" fillId="0" borderId="11" applyBorder="0"/>
    <xf numFmtId="184" fontId="39" fillId="0" borderId="0" applyFont="0" applyFill="0" applyBorder="0" applyAlignment="0" applyProtection="0"/>
    <xf numFmtId="0" fontId="94" fillId="58" borderId="51" applyNumberFormat="0" applyFont="0" applyAlignment="0" applyProtection="0"/>
    <xf numFmtId="0" fontId="5" fillId="44" borderId="73" applyNumberFormat="0" applyProtection="0">
      <alignment horizontal="left" vertical="top" indent="1"/>
    </xf>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4" fillId="0" borderId="0"/>
    <xf numFmtId="186" fontId="45" fillId="0" borderId="0"/>
    <xf numFmtId="3" fontId="1" fillId="0" borderId="0" applyFont="0" applyFill="0" applyBorder="0" applyAlignment="0" applyProtection="0"/>
    <xf numFmtId="187" fontId="46" fillId="0" borderId="4" applyBorder="0"/>
    <xf numFmtId="0" fontId="47" fillId="0" borderId="0" applyNumberFormat="0" applyAlignment="0">
      <alignment horizontal="left"/>
    </xf>
    <xf numFmtId="182" fontId="39" fillId="0" borderId="0" applyFont="0" applyFill="0" applyBorder="0" applyAlignment="0" applyProtection="0"/>
    <xf numFmtId="44" fontId="1" fillId="0" borderId="0" applyFont="0" applyFill="0" applyBorder="0" applyAlignment="0" applyProtection="0"/>
    <xf numFmtId="188" fontId="1" fillId="0" borderId="0" applyFont="0" applyFill="0" applyBorder="0" applyAlignment="0" applyProtection="0"/>
    <xf numFmtId="189" fontId="45" fillId="0" borderId="0"/>
    <xf numFmtId="187" fontId="48" fillId="0" borderId="0">
      <protection locked="0"/>
    </xf>
    <xf numFmtId="0" fontId="1" fillId="0" borderId="0" applyFont="0" applyFill="0" applyBorder="0" applyAlignment="0" applyProtection="0"/>
    <xf numFmtId="14" fontId="38" fillId="0" borderId="0" applyFill="0" applyBorder="0" applyAlignment="0"/>
    <xf numFmtId="0" fontId="1" fillId="0" borderId="0" applyFont="0" applyFill="0" applyBorder="0" applyAlignment="0" applyProtection="0"/>
    <xf numFmtId="38" fontId="49" fillId="0" borderId="33">
      <alignment vertical="center"/>
    </xf>
    <xf numFmtId="43" fontId="1" fillId="0" borderId="0" applyFont="0" applyFill="0" applyBorder="0" applyAlignment="0" applyProtection="0"/>
    <xf numFmtId="172" fontId="45" fillId="0" borderId="0"/>
    <xf numFmtId="187" fontId="50" fillId="0" borderId="22"/>
    <xf numFmtId="43" fontId="1" fillId="0" borderId="0" applyFont="0" applyFill="0" applyBorder="0" applyAlignment="0" applyProtection="0"/>
    <xf numFmtId="184" fontId="39" fillId="0" borderId="0" applyFill="0" applyBorder="0" applyAlignment="0"/>
    <xf numFmtId="182" fontId="39" fillId="0" borderId="0" applyFill="0" applyBorder="0" applyAlignment="0"/>
    <xf numFmtId="184" fontId="39" fillId="0" borderId="0" applyFill="0" applyBorder="0" applyAlignment="0"/>
    <xf numFmtId="185" fontId="40" fillId="0" borderId="0" applyFill="0" applyBorder="0" applyAlignment="0"/>
    <xf numFmtId="182" fontId="39" fillId="0" borderId="0" applyFill="0" applyBorder="0" applyAlignment="0"/>
    <xf numFmtId="0" fontId="51" fillId="0" borderId="0" applyNumberFormat="0" applyAlignment="0">
      <alignment horizontal="left"/>
    </xf>
    <xf numFmtId="190" fontId="1" fillId="0" borderId="0" applyFont="0" applyFill="0" applyBorder="0" applyAlignment="0" applyProtection="0"/>
    <xf numFmtId="0" fontId="39" fillId="0" borderId="0" applyFill="0" applyBorder="0">
      <alignment horizontal="left" vertical="top"/>
    </xf>
    <xf numFmtId="2" fontId="1" fillId="0" borderId="0" applyFont="0" applyFill="0" applyBorder="0" applyAlignment="0" applyProtection="0"/>
    <xf numFmtId="171" fontId="52" fillId="0" borderId="0" applyFill="0" applyBorder="0" applyAlignment="0" applyProtection="0">
      <alignment vertical="top"/>
      <protection locked="0"/>
    </xf>
    <xf numFmtId="0" fontId="53" fillId="0" borderId="0" applyNumberFormat="0" applyFont="0" applyBorder="0" applyAlignment="0">
      <alignment horizontal="left" vertical="center"/>
    </xf>
    <xf numFmtId="0" fontId="54" fillId="0" borderId="0">
      <alignment horizontal="left"/>
    </xf>
    <xf numFmtId="0" fontId="5" fillId="60" borderId="73" applyNumberFormat="0" applyProtection="0">
      <alignment horizontal="left" vertical="top" indent="1"/>
    </xf>
    <xf numFmtId="43" fontId="19" fillId="0" borderId="0" applyFont="0" applyFill="0" applyBorder="0" applyAlignment="0" applyProtection="0"/>
    <xf numFmtId="5" fontId="55" fillId="16" borderId="4" applyNumberFormat="0" applyAlignment="0">
      <alignment horizontal="left" vertical="top"/>
    </xf>
    <xf numFmtId="0" fontId="11" fillId="0" borderId="0"/>
    <xf numFmtId="184" fontId="39" fillId="0" borderId="0" applyFill="0" applyBorder="0" applyAlignment="0"/>
    <xf numFmtId="182" fontId="39" fillId="0" borderId="0" applyFill="0" applyBorder="0" applyAlignment="0"/>
    <xf numFmtId="184" fontId="39" fillId="0" borderId="0" applyFill="0" applyBorder="0" applyAlignment="0"/>
    <xf numFmtId="185" fontId="40" fillId="0" borderId="0" applyFill="0" applyBorder="0" applyAlignment="0"/>
    <xf numFmtId="182" fontId="39" fillId="0" borderId="0" applyFill="0" applyBorder="0" applyAlignment="0"/>
    <xf numFmtId="38" fontId="56" fillId="15" borderId="0"/>
    <xf numFmtId="166" fontId="1" fillId="0" borderId="0" applyFont="0" applyFill="0" applyBorder="0" applyAlignment="0" applyProtection="0"/>
    <xf numFmtId="41" fontId="1" fillId="0" borderId="0" applyFont="0" applyFill="0" applyBorder="0" applyAlignment="0" applyProtection="0"/>
    <xf numFmtId="191" fontId="1" fillId="0" borderId="0" applyFont="0" applyFill="0" applyBorder="0" applyAlignment="0" applyProtection="0"/>
    <xf numFmtId="0" fontId="57" fillId="0" borderId="14"/>
    <xf numFmtId="0" fontId="17" fillId="0" borderId="0" applyNumberFormat="0" applyFont="0" applyFill="0" applyAlignment="0"/>
    <xf numFmtId="0" fontId="18" fillId="0" borderId="0"/>
    <xf numFmtId="4" fontId="38" fillId="32" borderId="98" applyNumberFormat="0" applyProtection="0">
      <alignment horizontal="left" vertical="center" indent="1"/>
    </xf>
    <xf numFmtId="0" fontId="58" fillId="0" borderId="4" applyNumberFormat="0" applyFont="0" applyFill="0" applyBorder="0" applyAlignment="0">
      <alignment horizontal="center"/>
    </xf>
    <xf numFmtId="0" fontId="1" fillId="0" borderId="0"/>
    <xf numFmtId="0" fontId="59" fillId="0" borderId="0"/>
    <xf numFmtId="0" fontId="1" fillId="0" borderId="0"/>
    <xf numFmtId="0" fontId="43" fillId="0" borderId="0"/>
    <xf numFmtId="43" fontId="19" fillId="0" borderId="0" applyFont="0" applyFill="0" applyBorder="0" applyAlignment="0" applyProtection="0"/>
    <xf numFmtId="0" fontId="1" fillId="0" borderId="0"/>
    <xf numFmtId="0" fontId="60" fillId="0" borderId="0" applyNumberFormat="0" applyFill="0" applyBorder="0" applyAlignment="0" applyProtection="0"/>
    <xf numFmtId="37" fontId="61" fillId="0" borderId="0">
      <protection locked="0"/>
    </xf>
    <xf numFmtId="176" fontId="40" fillId="0" borderId="0" applyFont="0" applyFill="0" applyBorder="0" applyAlignment="0" applyProtection="0"/>
    <xf numFmtId="192" fontId="39" fillId="0" borderId="0" applyFont="0" applyFill="0" applyBorder="0" applyAlignment="0" applyProtection="0"/>
    <xf numFmtId="4" fontId="38" fillId="26" borderId="98" applyNumberFormat="0" applyProtection="0">
      <alignment horizontal="right" vertical="center"/>
    </xf>
    <xf numFmtId="9" fontId="19" fillId="0" borderId="0" applyFont="0" applyFill="0" applyBorder="0" applyAlignment="0" applyProtection="0"/>
    <xf numFmtId="0" fontId="11" fillId="0" borderId="0"/>
    <xf numFmtId="9" fontId="43" fillId="0" borderId="0" applyFont="0" applyFill="0" applyBorder="0" applyAlignment="0" applyProtection="0"/>
    <xf numFmtId="9" fontId="43" fillId="0" borderId="0" applyFont="0" applyFill="0" applyBorder="0" applyAlignment="0" applyProtection="0"/>
    <xf numFmtId="184" fontId="39" fillId="0" borderId="0" applyFill="0" applyBorder="0" applyAlignment="0"/>
    <xf numFmtId="182" fontId="39" fillId="0" borderId="0" applyFill="0" applyBorder="0" applyAlignment="0"/>
    <xf numFmtId="184" fontId="39" fillId="0" borderId="0" applyFill="0" applyBorder="0" applyAlignment="0"/>
    <xf numFmtId="185" fontId="40" fillId="0" borderId="0" applyFill="0" applyBorder="0" applyAlignment="0"/>
    <xf numFmtId="182" fontId="39" fillId="0" borderId="0" applyFill="0" applyBorder="0" applyAlignment="0"/>
    <xf numFmtId="0" fontId="62" fillId="0" borderId="0"/>
    <xf numFmtId="0" fontId="49" fillId="0" borderId="0" applyNumberFormat="0" applyFont="0" applyFill="0" applyBorder="0" applyAlignment="0" applyProtection="0">
      <alignment horizontal="left"/>
    </xf>
    <xf numFmtId="15" fontId="49" fillId="0" borderId="0" applyFont="0" applyFill="0" applyBorder="0" applyAlignment="0" applyProtection="0"/>
    <xf numFmtId="4" fontId="49" fillId="0" borderId="0" applyFont="0" applyFill="0" applyBorder="0" applyAlignment="0" applyProtection="0"/>
    <xf numFmtId="0" fontId="36" fillId="0" borderId="14">
      <alignment horizontal="center"/>
    </xf>
    <xf numFmtId="3" fontId="49" fillId="0" borderId="0" applyFont="0" applyFill="0" applyBorder="0" applyAlignment="0" applyProtection="0"/>
    <xf numFmtId="0" fontId="49" fillId="17" borderId="0" applyNumberFormat="0" applyFont="0" applyBorder="0" applyAlignment="0" applyProtection="0"/>
    <xf numFmtId="1" fontId="28" fillId="0" borderId="16" applyNumberFormat="0" applyFill="0" applyAlignment="0" applyProtection="0">
      <alignment horizontal="center" vertical="center"/>
    </xf>
    <xf numFmtId="193" fontId="63" fillId="0" borderId="0" applyNumberFormat="0" applyFill="0" applyBorder="0" applyAlignment="0" applyProtection="0">
      <alignment horizontal="left"/>
    </xf>
    <xf numFmtId="4" fontId="38" fillId="18" borderId="34" applyNumberFormat="0" applyProtection="0">
      <alignment vertical="center"/>
    </xf>
    <xf numFmtId="4" fontId="64" fillId="18" borderId="34" applyNumberFormat="0" applyProtection="0">
      <alignment vertical="center"/>
    </xf>
    <xf numFmtId="4" fontId="38" fillId="18" borderId="34" applyNumberFormat="0" applyProtection="0">
      <alignment horizontal="left" vertical="center" indent="1"/>
    </xf>
    <xf numFmtId="4" fontId="38" fillId="18" borderId="34" applyNumberFormat="0" applyProtection="0">
      <alignment horizontal="left" vertical="center" indent="1"/>
    </xf>
    <xf numFmtId="0" fontId="1" fillId="19" borderId="34" applyNumberFormat="0" applyProtection="0">
      <alignment horizontal="left" vertical="center" indent="1"/>
    </xf>
    <xf numFmtId="4" fontId="38" fillId="20" borderId="34" applyNumberFormat="0" applyProtection="0">
      <alignment horizontal="right" vertical="center"/>
    </xf>
    <xf numFmtId="4" fontId="38" fillId="21" borderId="34" applyNumberFormat="0" applyProtection="0">
      <alignment horizontal="right" vertical="center"/>
    </xf>
    <xf numFmtId="4" fontId="38" fillId="22" borderId="34" applyNumberFormat="0" applyProtection="0">
      <alignment horizontal="right" vertical="center"/>
    </xf>
    <xf numFmtId="4" fontId="38" fillId="23" borderId="34" applyNumberFormat="0" applyProtection="0">
      <alignment horizontal="right" vertical="center"/>
    </xf>
    <xf numFmtId="4" fontId="38" fillId="24" borderId="34" applyNumberFormat="0" applyProtection="0">
      <alignment horizontal="right" vertical="center"/>
    </xf>
    <xf numFmtId="4" fontId="38" fillId="25" borderId="34" applyNumberFormat="0" applyProtection="0">
      <alignment horizontal="right" vertical="center"/>
    </xf>
    <xf numFmtId="4" fontId="38" fillId="26" borderId="34" applyNumberFormat="0" applyProtection="0">
      <alignment horizontal="right" vertical="center"/>
    </xf>
    <xf numFmtId="4" fontId="38" fillId="27" borderId="34" applyNumberFormat="0" applyProtection="0">
      <alignment horizontal="right" vertical="center"/>
    </xf>
    <xf numFmtId="4" fontId="38" fillId="28" borderId="34" applyNumberFormat="0" applyProtection="0">
      <alignment horizontal="right" vertical="center"/>
    </xf>
    <xf numFmtId="4" fontId="65" fillId="29" borderId="34" applyNumberFormat="0" applyProtection="0">
      <alignment horizontal="left" vertical="center" indent="1"/>
    </xf>
    <xf numFmtId="4" fontId="38" fillId="30" borderId="35" applyNumberFormat="0" applyProtection="0">
      <alignment horizontal="left" vertical="center" indent="1"/>
    </xf>
    <xf numFmtId="4" fontId="66" fillId="31" borderId="0" applyNumberFormat="0" applyProtection="0">
      <alignment horizontal="left" vertical="center" indent="1"/>
    </xf>
    <xf numFmtId="0" fontId="1" fillId="19" borderId="34" applyNumberFormat="0" applyProtection="0">
      <alignment horizontal="left" vertical="center" indent="1"/>
    </xf>
    <xf numFmtId="4" fontId="38" fillId="30" borderId="34" applyNumberFormat="0" applyProtection="0">
      <alignment horizontal="left" vertical="center" indent="1"/>
    </xf>
    <xf numFmtId="4" fontId="38" fillId="32" borderId="34" applyNumberFormat="0" applyProtection="0">
      <alignment horizontal="left" vertical="center" indent="1"/>
    </xf>
    <xf numFmtId="0" fontId="1" fillId="32" borderId="34" applyNumberFormat="0" applyProtection="0">
      <alignment horizontal="left" vertical="center" indent="1"/>
    </xf>
    <xf numFmtId="0" fontId="1" fillId="32" borderId="34" applyNumberFormat="0" applyProtection="0">
      <alignment horizontal="left" vertical="center" indent="1"/>
    </xf>
    <xf numFmtId="0" fontId="1" fillId="33" borderId="34" applyNumberFormat="0" applyProtection="0">
      <alignment horizontal="left" vertical="center" indent="1"/>
    </xf>
    <xf numFmtId="0" fontId="1" fillId="33" borderId="34" applyNumberFormat="0" applyProtection="0">
      <alignment horizontal="left" vertical="center" indent="1"/>
    </xf>
    <xf numFmtId="0" fontId="1" fillId="2" borderId="34" applyNumberFormat="0" applyProtection="0">
      <alignment horizontal="left" vertical="center" indent="1"/>
    </xf>
    <xf numFmtId="0" fontId="1" fillId="2" borderId="34" applyNumberFormat="0" applyProtection="0">
      <alignment horizontal="left" vertical="center" indent="1"/>
    </xf>
    <xf numFmtId="0" fontId="1" fillId="19" borderId="34" applyNumberFormat="0" applyProtection="0">
      <alignment horizontal="left" vertical="center" indent="1"/>
    </xf>
    <xf numFmtId="0" fontId="1" fillId="19" borderId="34" applyNumberFormat="0" applyProtection="0">
      <alignment horizontal="left" vertical="center" indent="1"/>
    </xf>
    <xf numFmtId="4" fontId="38" fillId="3" borderId="34" applyNumberFormat="0" applyProtection="0">
      <alignment vertical="center"/>
    </xf>
    <xf numFmtId="4" fontId="64" fillId="3" borderId="34" applyNumberFormat="0" applyProtection="0">
      <alignment vertical="center"/>
    </xf>
    <xf numFmtId="4" fontId="38" fillId="3" borderId="34" applyNumberFormat="0" applyProtection="0">
      <alignment horizontal="left" vertical="center" indent="1"/>
    </xf>
    <xf numFmtId="4" fontId="38" fillId="3" borderId="34" applyNumberFormat="0" applyProtection="0">
      <alignment horizontal="left" vertical="center" indent="1"/>
    </xf>
    <xf numFmtId="4" fontId="38" fillId="30" borderId="34" applyNumberFormat="0" applyProtection="0">
      <alignment horizontal="right" vertical="center"/>
    </xf>
    <xf numFmtId="4" fontId="64" fillId="30" borderId="34" applyNumberFormat="0" applyProtection="0">
      <alignment horizontal="right" vertical="center"/>
    </xf>
    <xf numFmtId="0" fontId="1" fillId="19" borderId="34" applyNumberFormat="0" applyProtection="0">
      <alignment horizontal="left" vertical="center" indent="1"/>
    </xf>
    <xf numFmtId="0" fontId="1" fillId="19" borderId="34" applyNumberFormat="0" applyProtection="0">
      <alignment horizontal="left" vertical="center" indent="1"/>
    </xf>
    <xf numFmtId="0" fontId="67" fillId="0" borderId="0"/>
    <xf numFmtId="4" fontId="68" fillId="30" borderId="34" applyNumberFormat="0" applyProtection="0">
      <alignment horizontal="right" vertical="center"/>
    </xf>
    <xf numFmtId="0" fontId="61" fillId="0" borderId="0"/>
    <xf numFmtId="0" fontId="69" fillId="0" borderId="0"/>
    <xf numFmtId="0" fontId="61" fillId="0" borderId="0"/>
    <xf numFmtId="37" fontId="70" fillId="0" borderId="0">
      <protection locked="0"/>
    </xf>
    <xf numFmtId="0" fontId="71" fillId="34" borderId="0"/>
    <xf numFmtId="0" fontId="69" fillId="0" borderId="0"/>
    <xf numFmtId="0" fontId="72" fillId="0" borderId="0"/>
    <xf numFmtId="37" fontId="70" fillId="0" borderId="0">
      <protection locked="0"/>
    </xf>
    <xf numFmtId="0" fontId="73" fillId="0" borderId="0"/>
    <xf numFmtId="0" fontId="71" fillId="34" borderId="0"/>
    <xf numFmtId="0" fontId="69" fillId="0" borderId="0"/>
    <xf numFmtId="0" fontId="69" fillId="0" borderId="0"/>
    <xf numFmtId="49" fontId="61" fillId="0" borderId="0"/>
    <xf numFmtId="0" fontId="1" fillId="0" borderId="0"/>
    <xf numFmtId="0" fontId="1" fillId="0" borderId="0"/>
    <xf numFmtId="0" fontId="57" fillId="0" borderId="0"/>
    <xf numFmtId="40" fontId="74" fillId="0" borderId="0" applyBorder="0">
      <alignment horizontal="right"/>
    </xf>
    <xf numFmtId="49" fontId="38" fillId="0" borderId="0" applyFill="0" applyBorder="0" applyAlignment="0"/>
    <xf numFmtId="194" fontId="40" fillId="0" borderId="0" applyFill="0" applyBorder="0" applyAlignment="0"/>
    <xf numFmtId="195" fontId="40" fillId="0" borderId="0" applyFill="0" applyBorder="0" applyAlignment="0"/>
    <xf numFmtId="0" fontId="75" fillId="0" borderId="36"/>
    <xf numFmtId="0" fontId="60"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76" fillId="0" borderId="0"/>
    <xf numFmtId="0" fontId="76" fillId="0" borderId="0"/>
    <xf numFmtId="5" fontId="77" fillId="30" borderId="23">
      <alignment vertical="top"/>
    </xf>
    <xf numFmtId="0" fontId="78" fillId="35" borderId="4">
      <alignment horizontal="left" vertical="center"/>
    </xf>
    <xf numFmtId="6" fontId="79" fillId="36" borderId="23"/>
    <xf numFmtId="5" fontId="55" fillId="0" borderId="23">
      <alignment horizontal="left" vertical="top"/>
    </xf>
    <xf numFmtId="0" fontId="80" fillId="37" borderId="0">
      <alignment horizontal="left" vertical="center"/>
    </xf>
    <xf numFmtId="5" fontId="81" fillId="0" borderId="16">
      <alignment horizontal="left" vertical="top"/>
    </xf>
    <xf numFmtId="0" fontId="82" fillId="0" borderId="16">
      <alignment horizontal="left" vertical="center"/>
    </xf>
    <xf numFmtId="0" fontId="83" fillId="0" borderId="0" applyNumberFormat="0" applyFill="0" applyBorder="0" applyAlignment="0" applyProtection="0"/>
    <xf numFmtId="0" fontId="84" fillId="0" borderId="0"/>
    <xf numFmtId="43" fontId="1" fillId="0" borderId="0" applyFont="0" applyFill="0" applyBorder="0" applyAlignment="0" applyProtection="0"/>
    <xf numFmtId="40" fontId="85" fillId="0" borderId="0" applyFont="0" applyFill="0" applyBorder="0" applyAlignment="0" applyProtection="0"/>
    <xf numFmtId="38"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9" fontId="86" fillId="0" borderId="0" applyFont="0" applyFill="0" applyBorder="0" applyAlignment="0" applyProtection="0"/>
    <xf numFmtId="0" fontId="87" fillId="0" borderId="0"/>
    <xf numFmtId="0" fontId="17" fillId="0" borderId="0"/>
    <xf numFmtId="41" fontId="88" fillId="0" borderId="0" applyFont="0" applyFill="0" applyBorder="0" applyAlignment="0" applyProtection="0">
      <alignment vertical="center"/>
    </xf>
    <xf numFmtId="43" fontId="88" fillId="0" borderId="0" applyFont="0" applyFill="0" applyBorder="0" applyAlignment="0" applyProtection="0"/>
    <xf numFmtId="179" fontId="61" fillId="0" borderId="0" applyFont="0" applyFill="0" applyBorder="0" applyAlignment="0" applyProtection="0"/>
    <xf numFmtId="166" fontId="61" fillId="0" borderId="0" applyFont="0" applyFill="0" applyBorder="0" applyAlignment="0" applyProtection="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179" fontId="90" fillId="0" borderId="0" applyFont="0" applyFill="0" applyBorder="0" applyAlignment="0" applyProtection="0"/>
    <xf numFmtId="166" fontId="90" fillId="0" borderId="0" applyFont="0" applyFill="0" applyBorder="0" applyAlignment="0" applyProtection="0"/>
    <xf numFmtId="196" fontId="59" fillId="0" borderId="0" applyFont="0" applyFill="0" applyBorder="0" applyAlignment="0" applyProtection="0"/>
    <xf numFmtId="197" fontId="59" fillId="0" borderId="0" applyFont="0" applyFill="0" applyBorder="0" applyAlignment="0" applyProtection="0"/>
    <xf numFmtId="0" fontId="91" fillId="0" borderId="0"/>
    <xf numFmtId="0" fontId="1" fillId="0" borderId="0"/>
    <xf numFmtId="41" fontId="1" fillId="0" borderId="0" applyFont="0" applyFill="0" applyBorder="0" applyAlignment="0" applyProtection="0"/>
    <xf numFmtId="0" fontId="1" fillId="0" borderId="0"/>
    <xf numFmtId="9" fontId="88" fillId="0" borderId="0" applyFont="0" applyFill="0" applyBorder="0" applyAlignment="0" applyProtection="0"/>
    <xf numFmtId="198" fontId="61" fillId="0" borderId="0" applyFont="0" applyFill="0" applyBorder="0" applyAlignment="0" applyProtection="0"/>
    <xf numFmtId="6" fontId="92" fillId="0" borderId="0" applyFont="0" applyFill="0" applyBorder="0" applyAlignment="0" applyProtection="0"/>
    <xf numFmtId="199" fontId="61"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29" fillId="0" borderId="0">
      <alignment vertical="center"/>
    </xf>
    <xf numFmtId="0" fontId="11" fillId="0" borderId="0"/>
    <xf numFmtId="0" fontId="11" fillId="0" borderId="0"/>
    <xf numFmtId="43" fontId="18" fillId="0" borderId="0" applyFont="0" applyFill="0" applyBorder="0" applyAlignment="0" applyProtection="0"/>
    <xf numFmtId="0" fontId="94" fillId="38" borderId="0" applyNumberFormat="0" applyBorder="0" applyAlignment="0" applyProtection="0"/>
    <xf numFmtId="0" fontId="94" fillId="39" borderId="0" applyNumberFormat="0" applyBorder="0" applyAlignment="0" applyProtection="0"/>
    <xf numFmtId="0" fontId="94" fillId="40" borderId="0" applyNumberFormat="0" applyBorder="0" applyAlignment="0" applyProtection="0"/>
    <xf numFmtId="0" fontId="94" fillId="41" borderId="0" applyNumberFormat="0" applyBorder="0" applyAlignment="0" applyProtection="0"/>
    <xf numFmtId="0" fontId="94" fillId="42" borderId="0" applyNumberFormat="0" applyBorder="0" applyAlignment="0" applyProtection="0"/>
    <xf numFmtId="0" fontId="94" fillId="43" borderId="0" applyNumberFormat="0" applyBorder="0" applyAlignment="0" applyProtection="0"/>
    <xf numFmtId="0" fontId="94" fillId="44" borderId="0" applyNumberFormat="0" applyBorder="0" applyAlignment="0" applyProtection="0"/>
    <xf numFmtId="0" fontId="94" fillId="45" borderId="0" applyNumberFormat="0" applyBorder="0" applyAlignment="0" applyProtection="0"/>
    <xf numFmtId="0" fontId="94" fillId="46" borderId="0" applyNumberFormat="0" applyBorder="0" applyAlignment="0" applyProtection="0"/>
    <xf numFmtId="0" fontId="94" fillId="41" borderId="0" applyNumberFormat="0" applyBorder="0" applyAlignment="0" applyProtection="0"/>
    <xf numFmtId="0" fontId="94" fillId="44" borderId="0" applyNumberFormat="0" applyBorder="0" applyAlignment="0" applyProtection="0"/>
    <xf numFmtId="0" fontId="94" fillId="47" borderId="0" applyNumberFormat="0" applyBorder="0" applyAlignment="0" applyProtection="0"/>
    <xf numFmtId="0" fontId="95" fillId="48" borderId="0" applyNumberFormat="0" applyBorder="0" applyAlignment="0" applyProtection="0"/>
    <xf numFmtId="0" fontId="95" fillId="45" borderId="0" applyNumberFormat="0" applyBorder="0" applyAlignment="0" applyProtection="0"/>
    <xf numFmtId="0" fontId="95" fillId="46" borderId="0" applyNumberFormat="0" applyBorder="0" applyAlignment="0" applyProtection="0"/>
    <xf numFmtId="0" fontId="95" fillId="49" borderId="0" applyNumberFormat="0" applyBorder="0" applyAlignment="0" applyProtection="0"/>
    <xf numFmtId="0" fontId="95" fillId="50" borderId="0" applyNumberFormat="0" applyBorder="0" applyAlignment="0" applyProtection="0"/>
    <xf numFmtId="0" fontId="95" fillId="51" borderId="0" applyNumberFormat="0" applyBorder="0" applyAlignment="0" applyProtection="0"/>
    <xf numFmtId="0" fontId="95" fillId="52" borderId="0" applyNumberFormat="0" applyBorder="0" applyAlignment="0" applyProtection="0"/>
    <xf numFmtId="0" fontId="95" fillId="53" borderId="0" applyNumberFormat="0" applyBorder="0" applyAlignment="0" applyProtection="0"/>
    <xf numFmtId="0" fontId="95" fillId="54" borderId="0" applyNumberFormat="0" applyBorder="0" applyAlignment="0" applyProtection="0"/>
    <xf numFmtId="0" fontId="95" fillId="49" borderId="0" applyNumberFormat="0" applyBorder="0" applyAlignment="0" applyProtection="0"/>
    <xf numFmtId="0" fontId="95" fillId="50" borderId="0" applyNumberFormat="0" applyBorder="0" applyAlignment="0" applyProtection="0"/>
    <xf numFmtId="0" fontId="95" fillId="55" borderId="0" applyNumberFormat="0" applyBorder="0" applyAlignment="0" applyProtection="0"/>
    <xf numFmtId="0" fontId="96" fillId="39" borderId="0" applyNumberFormat="0" applyBorder="0" applyAlignment="0" applyProtection="0"/>
    <xf numFmtId="0" fontId="97" fillId="34" borderId="37" applyNumberFormat="0" applyAlignment="0" applyProtection="0"/>
    <xf numFmtId="0" fontId="98" fillId="56" borderId="38" applyNumberFormat="0" applyAlignment="0" applyProtection="0"/>
    <xf numFmtId="41"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1" fillId="19" borderId="52" applyNumberFormat="0" applyProtection="0">
      <alignment horizontal="left" vertical="center" indent="1"/>
    </xf>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9" fillId="0" borderId="0" applyNumberFormat="0" applyFill="0" applyBorder="0" applyAlignment="0" applyProtection="0"/>
    <xf numFmtId="0" fontId="100" fillId="40" borderId="0" applyNumberFormat="0" applyBorder="0" applyAlignment="0" applyProtection="0"/>
    <xf numFmtId="0" fontId="101" fillId="0" borderId="39" applyNumberFormat="0" applyFill="0" applyAlignment="0" applyProtection="0"/>
    <xf numFmtId="0" fontId="102" fillId="0" borderId="40" applyNumberFormat="0" applyFill="0" applyAlignment="0" applyProtection="0"/>
    <xf numFmtId="0" fontId="103" fillId="0" borderId="41" applyNumberFormat="0" applyFill="0" applyAlignment="0" applyProtection="0"/>
    <xf numFmtId="0" fontId="103" fillId="0" borderId="0" applyNumberFormat="0" applyFill="0" applyBorder="0" applyAlignment="0" applyProtection="0"/>
    <xf numFmtId="0" fontId="16" fillId="0" borderId="0" applyNumberFormat="0" applyFill="0" applyBorder="0" applyAlignment="0" applyProtection="0">
      <alignment vertical="top"/>
      <protection locked="0"/>
    </xf>
    <xf numFmtId="0" fontId="104" fillId="43" borderId="37" applyNumberFormat="0" applyAlignment="0" applyProtection="0"/>
    <xf numFmtId="0" fontId="105" fillId="0" borderId="42" applyNumberFormat="0" applyFill="0" applyAlignment="0" applyProtection="0"/>
    <xf numFmtId="0" fontId="106" fillId="57" borderId="0" applyNumberFormat="0" applyBorder="0" applyAlignment="0" applyProtection="0"/>
    <xf numFmtId="0" fontId="11" fillId="0" borderId="0"/>
    <xf numFmtId="5" fontId="36" fillId="0" borderId="101"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 fillId="0" borderId="0"/>
    <xf numFmtId="0" fontId="11" fillId="0" borderId="0"/>
    <xf numFmtId="0" fontId="1" fillId="19" borderId="52" applyNumberFormat="0" applyProtection="0">
      <alignment horizontal="left" vertical="center" inden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4" fillId="58" borderId="51"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43" fontId="18"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 fillId="58" borderId="43" applyNumberFormat="0" applyFont="0" applyAlignment="0" applyProtection="0"/>
    <xf numFmtId="0" fontId="107" fillId="3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8" fillId="0" borderId="0" applyNumberFormat="0" applyFill="0" applyBorder="0" applyAlignment="0" applyProtection="0"/>
    <xf numFmtId="0" fontId="109" fillId="0" borderId="44" applyNumberFormat="0" applyFill="0" applyAlignment="0" applyProtection="0"/>
    <xf numFmtId="0" fontId="110" fillId="0" borderId="0" applyNumberFormat="0" applyFill="0" applyBorder="0" applyAlignment="0" applyProtection="0"/>
    <xf numFmtId="201" fontId="11" fillId="0" borderId="0" applyFont="0" applyFill="0" applyBorder="0" applyAlignment="0" applyProtection="0"/>
    <xf numFmtId="0" fontId="1" fillId="0" borderId="0"/>
    <xf numFmtId="0" fontId="1" fillId="0" borderId="0"/>
    <xf numFmtId="4" fontId="5" fillId="50" borderId="45" applyNumberFormat="0" applyProtection="0">
      <alignment horizontal="left" vertical="center" indent="1"/>
    </xf>
    <xf numFmtId="4" fontId="5" fillId="59" borderId="45" applyNumberFormat="0" applyProtection="0">
      <alignment horizontal="right" vertical="center"/>
    </xf>
    <xf numFmtId="0" fontId="5" fillId="34" borderId="45" applyNumberFormat="0" applyProtection="0">
      <alignment horizontal="left" vertical="center" indent="1"/>
    </xf>
    <xf numFmtId="0" fontId="5" fillId="60" borderId="46" applyNumberFormat="0" applyProtection="0">
      <alignment horizontal="left" vertical="top" indent="1"/>
    </xf>
    <xf numFmtId="0" fontId="5" fillId="61" borderId="45" applyNumberFormat="0" applyProtection="0">
      <alignment horizontal="left" vertical="center" indent="1"/>
    </xf>
    <xf numFmtId="0" fontId="5" fillId="59" borderId="46" applyNumberFormat="0" applyProtection="0">
      <alignment horizontal="left" vertical="top" indent="1"/>
    </xf>
    <xf numFmtId="0" fontId="5" fillId="44" borderId="45" applyNumberFormat="0" applyProtection="0">
      <alignment horizontal="left" vertical="center" indent="1"/>
    </xf>
    <xf numFmtId="0" fontId="5" fillId="44" borderId="46" applyNumberFormat="0" applyProtection="0">
      <alignment horizontal="left" vertical="top" indent="1"/>
    </xf>
    <xf numFmtId="0" fontId="5" fillId="62" borderId="45" applyNumberFormat="0" applyProtection="0">
      <alignment horizontal="left" vertical="center" indent="1"/>
    </xf>
    <xf numFmtId="4" fontId="5" fillId="0" borderId="45" applyNumberFormat="0" applyProtection="0">
      <alignment horizontal="right" vertical="center"/>
    </xf>
    <xf numFmtId="4" fontId="5" fillId="0" borderId="45" applyNumberFormat="0" applyProtection="0">
      <alignment horizontal="right" vertical="center"/>
    </xf>
    <xf numFmtId="4" fontId="111" fillId="15" borderId="45" applyNumberFormat="0" applyProtection="0">
      <alignment horizontal="right" vertical="center"/>
    </xf>
    <xf numFmtId="4" fontId="112" fillId="63" borderId="45" applyNumberFormat="0" applyProtection="0">
      <alignment horizontal="right" vertical="center"/>
    </xf>
    <xf numFmtId="4" fontId="111" fillId="15" borderId="45" applyNumberFormat="0" applyProtection="0">
      <alignment horizontal="right" vertical="center"/>
    </xf>
    <xf numFmtId="0" fontId="1" fillId="0" borderId="0"/>
    <xf numFmtId="4" fontId="5" fillId="50" borderId="45" applyNumberFormat="0" applyProtection="0">
      <alignment horizontal="left" vertical="center" indent="1"/>
    </xf>
    <xf numFmtId="0" fontId="5" fillId="60" borderId="46" applyNumberFormat="0" applyProtection="0">
      <alignment horizontal="left" vertical="top" indent="1"/>
    </xf>
    <xf numFmtId="0" fontId="5" fillId="59" borderId="46" applyNumberFormat="0" applyProtection="0">
      <alignment horizontal="left" vertical="top" indent="1"/>
    </xf>
    <xf numFmtId="0" fontId="5" fillId="44" borderId="46" applyNumberFormat="0" applyProtection="0">
      <alignment horizontal="left" vertical="top" indent="1"/>
    </xf>
    <xf numFmtId="0" fontId="5" fillId="34" borderId="45" applyNumberFormat="0" applyProtection="0">
      <alignment horizontal="left" vertical="center" indent="1"/>
    </xf>
    <xf numFmtId="4" fontId="5" fillId="59" borderId="45" applyNumberFormat="0" applyProtection="0">
      <alignment horizontal="right" vertical="center"/>
    </xf>
    <xf numFmtId="4" fontId="5" fillId="0" borderId="45" applyNumberFormat="0" applyProtection="0">
      <alignment horizontal="right" vertical="center"/>
    </xf>
    <xf numFmtId="4" fontId="111" fillId="15" borderId="45" applyNumberFormat="0" applyProtection="0">
      <alignment horizontal="right" vertical="center"/>
    </xf>
    <xf numFmtId="0" fontId="5" fillId="61" borderId="45" applyNumberFormat="0" applyProtection="0">
      <alignment horizontal="left" vertical="center" indent="1"/>
    </xf>
    <xf numFmtId="0" fontId="5" fillId="44" borderId="45" applyNumberFormat="0" applyProtection="0">
      <alignment horizontal="left" vertical="center" indent="1"/>
    </xf>
    <xf numFmtId="0" fontId="5" fillId="62" borderId="45" applyNumberFormat="0" applyProtection="0">
      <alignment horizontal="left" vertical="center" indent="1"/>
    </xf>
    <xf numFmtId="4" fontId="112" fillId="63" borderId="45" applyNumberFormat="0" applyProtection="0">
      <alignment horizontal="right" vertical="center"/>
    </xf>
    <xf numFmtId="4" fontId="5" fillId="50" borderId="45" applyNumberFormat="0" applyProtection="0">
      <alignment horizontal="left" vertical="center" indent="1"/>
    </xf>
    <xf numFmtId="4" fontId="5" fillId="0" borderId="45" applyNumberFormat="0" applyProtection="0">
      <alignment horizontal="right" vertical="center"/>
    </xf>
    <xf numFmtId="0" fontId="5" fillId="34" borderId="45" applyNumberFormat="0" applyProtection="0">
      <alignment horizontal="left" vertical="center" indent="1"/>
    </xf>
    <xf numFmtId="0" fontId="1" fillId="0" borderId="0"/>
    <xf numFmtId="0" fontId="1" fillId="0" borderId="0"/>
    <xf numFmtId="0" fontId="5" fillId="59" borderId="46" applyNumberFormat="0" applyProtection="0">
      <alignment horizontal="left" vertical="top" indent="1"/>
    </xf>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 fontId="112" fillId="63" borderId="45" applyNumberFormat="0" applyProtection="0">
      <alignment horizontal="right" vertical="center"/>
    </xf>
    <xf numFmtId="0" fontId="5" fillId="62" borderId="45" applyNumberFormat="0" applyProtection="0">
      <alignment horizontal="left" vertical="center" indent="1"/>
    </xf>
    <xf numFmtId="0" fontId="5" fillId="44" borderId="45" applyNumberFormat="0" applyProtection="0">
      <alignment horizontal="left" vertical="center" indent="1"/>
    </xf>
    <xf numFmtId="0" fontId="5" fillId="61" borderId="45" applyNumberFormat="0" applyProtection="0">
      <alignment horizontal="left" vertical="center" indent="1"/>
    </xf>
    <xf numFmtId="0" fontId="94" fillId="0" borderId="0"/>
    <xf numFmtId="0" fontId="11" fillId="0" borderId="0"/>
    <xf numFmtId="4" fontId="5" fillId="59" borderId="45" applyNumberFormat="0" applyProtection="0">
      <alignment horizontal="right" vertical="center"/>
    </xf>
    <xf numFmtId="0" fontId="94" fillId="58" borderId="43" applyNumberFormat="0" applyFont="0" applyAlignment="0" applyProtection="0"/>
    <xf numFmtId="0" fontId="5" fillId="44" borderId="46" applyNumberFormat="0" applyProtection="0">
      <alignment horizontal="left" vertical="top" indent="1"/>
    </xf>
    <xf numFmtId="9" fontId="1" fillId="0" borderId="0" applyFont="0" applyFill="0" applyBorder="0" applyAlignment="0" applyProtection="0"/>
    <xf numFmtId="0" fontId="5" fillId="60" borderId="46" applyNumberFormat="0" applyProtection="0">
      <alignment horizontal="left" vertical="top" indent="1"/>
    </xf>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4" fillId="0" borderId="0"/>
    <xf numFmtId="0" fontId="11" fillId="0" borderId="0"/>
    <xf numFmtId="0" fontId="94" fillId="58" borderId="43" applyNumberFormat="0" applyFont="0" applyAlignment="0" applyProtection="0"/>
    <xf numFmtId="9"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02" fontId="1" fillId="0" borderId="0" applyFont="0" applyFill="0" applyBorder="0" applyAlignment="0" applyProtection="0"/>
    <xf numFmtId="4" fontId="5" fillId="59" borderId="72" applyNumberFormat="0" applyProtection="0">
      <alignment horizontal="right" vertical="center"/>
    </xf>
    <xf numFmtId="43" fontId="1" fillId="0" borderId="0" applyFont="0" applyFill="0" applyBorder="0" applyAlignment="0" applyProtection="0"/>
    <xf numFmtId="43" fontId="11" fillId="0" borderId="0" applyFont="0" applyFill="0" applyBorder="0" applyAlignment="0" applyProtection="0"/>
    <xf numFmtId="200" fontId="1" fillId="0" borderId="0" applyFont="0" applyFill="0" applyBorder="0" applyAlignment="0" applyProtection="0"/>
    <xf numFmtId="43" fontId="9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0" fontId="1" fillId="0" borderId="0"/>
    <xf numFmtId="0" fontId="11" fillId="0" borderId="0"/>
    <xf numFmtId="0" fontId="11" fillId="0" borderId="0"/>
    <xf numFmtId="0" fontId="1" fillId="0" borderId="0"/>
    <xf numFmtId="4" fontId="38" fillId="3" borderId="52" applyNumberFormat="0" applyProtection="0">
      <alignment horizontal="left" vertical="center" indent="1"/>
    </xf>
    <xf numFmtId="0" fontId="1" fillId="33" borderId="59" applyNumberFormat="0" applyProtection="0">
      <alignment horizontal="left" vertical="center" indent="1"/>
    </xf>
    <xf numFmtId="4" fontId="68" fillId="30" borderId="52" applyNumberFormat="0" applyProtection="0">
      <alignment horizontal="right" vertical="center"/>
    </xf>
    <xf numFmtId="0" fontId="1" fillId="19" borderId="52" applyNumberFormat="0" applyProtection="0">
      <alignment horizontal="left" vertical="center" indent="1"/>
    </xf>
    <xf numFmtId="0" fontId="1" fillId="19" borderId="52" applyNumberFormat="0" applyProtection="0">
      <alignment horizontal="left" vertical="center" indent="1"/>
    </xf>
    <xf numFmtId="4" fontId="64" fillId="30" borderId="52" applyNumberFormat="0" applyProtection="0">
      <alignment horizontal="right" vertical="center"/>
    </xf>
    <xf numFmtId="4" fontId="38" fillId="30" borderId="52" applyNumberFormat="0" applyProtection="0">
      <alignment horizontal="right" vertical="center"/>
    </xf>
    <xf numFmtId="4" fontId="38" fillId="3" borderId="52" applyNumberFormat="0" applyProtection="0">
      <alignment horizontal="left" vertical="center" indent="1"/>
    </xf>
    <xf numFmtId="4" fontId="64" fillId="3" borderId="52" applyNumberFormat="0" applyProtection="0">
      <alignment vertical="center"/>
    </xf>
    <xf numFmtId="4" fontId="38" fillId="3" borderId="52" applyNumberFormat="0" applyProtection="0">
      <alignment vertical="center"/>
    </xf>
    <xf numFmtId="0" fontId="1" fillId="19" borderId="52" applyNumberFormat="0" applyProtection="0">
      <alignment horizontal="left" vertical="center" indent="1"/>
    </xf>
    <xf numFmtId="0" fontId="1" fillId="19" borderId="52" applyNumberFormat="0" applyProtection="0">
      <alignment horizontal="left" vertical="center" indent="1"/>
    </xf>
    <xf numFmtId="0" fontId="1" fillId="2" borderId="52" applyNumberFormat="0" applyProtection="0">
      <alignment horizontal="left" vertical="center" indent="1"/>
    </xf>
    <xf numFmtId="0" fontId="1" fillId="2" borderId="52" applyNumberFormat="0" applyProtection="0">
      <alignment horizontal="left" vertical="center" indent="1"/>
    </xf>
    <xf numFmtId="0" fontId="1" fillId="33" borderId="52" applyNumberFormat="0" applyProtection="0">
      <alignment horizontal="left" vertical="center" indent="1"/>
    </xf>
    <xf numFmtId="0" fontId="1" fillId="33" borderId="52" applyNumberFormat="0" applyProtection="0">
      <alignment horizontal="left" vertical="center" indent="1"/>
    </xf>
    <xf numFmtId="0" fontId="1" fillId="32" borderId="52" applyNumberFormat="0" applyProtection="0">
      <alignment horizontal="left" vertical="center" indent="1"/>
    </xf>
    <xf numFmtId="0" fontId="1" fillId="32" borderId="52" applyNumberFormat="0" applyProtection="0">
      <alignment horizontal="left" vertical="center" indent="1"/>
    </xf>
    <xf numFmtId="4" fontId="38" fillId="32" borderId="52" applyNumberFormat="0" applyProtection="0">
      <alignment horizontal="left" vertical="center" indent="1"/>
    </xf>
    <xf numFmtId="4" fontId="38" fillId="30" borderId="52" applyNumberFormat="0" applyProtection="0">
      <alignment horizontal="left" vertical="center" indent="1"/>
    </xf>
    <xf numFmtId="0" fontId="1" fillId="19" borderId="52" applyNumberFormat="0" applyProtection="0">
      <alignment horizontal="left" vertical="center" indent="1"/>
    </xf>
    <xf numFmtId="4" fontId="38" fillId="30" borderId="54" applyNumberFormat="0" applyProtection="0">
      <alignment horizontal="left" vertical="center" indent="1"/>
    </xf>
    <xf numFmtId="4" fontId="65" fillId="29" borderId="52" applyNumberFormat="0" applyProtection="0">
      <alignment horizontal="left" vertical="center" indent="1"/>
    </xf>
    <xf numFmtId="4" fontId="38" fillId="23" borderId="52" applyNumberFormat="0" applyProtection="0">
      <alignment horizontal="right" vertical="center"/>
    </xf>
    <xf numFmtId="0" fontId="1" fillId="19" borderId="52" applyNumberFormat="0" applyProtection="0">
      <alignment horizontal="left" vertical="center" indent="1"/>
    </xf>
    <xf numFmtId="4" fontId="38" fillId="18" borderId="52" applyNumberFormat="0" applyProtection="0">
      <alignment horizontal="left" vertical="center" indent="1"/>
    </xf>
    <xf numFmtId="4" fontId="38" fillId="18" borderId="52" applyNumberFormat="0" applyProtection="0">
      <alignment horizontal="left" vertical="center" indent="1"/>
    </xf>
    <xf numFmtId="4" fontId="64" fillId="18" borderId="52" applyNumberFormat="0" applyProtection="0">
      <alignment vertical="center"/>
    </xf>
    <xf numFmtId="4" fontId="38" fillId="18" borderId="52" applyNumberFormat="0" applyProtection="0">
      <alignment vertical="center"/>
    </xf>
    <xf numFmtId="0" fontId="109" fillId="0" borderId="53" applyNumberFormat="0" applyFill="0" applyAlignment="0" applyProtection="0"/>
    <xf numFmtId="0" fontId="107" fillId="34" borderId="52" applyNumberFormat="0" applyAlignment="0" applyProtection="0"/>
    <xf numFmtId="4" fontId="38" fillId="28" borderId="52" applyNumberFormat="0" applyProtection="0">
      <alignment horizontal="right" vertical="center"/>
    </xf>
    <xf numFmtId="0" fontId="97" fillId="34" borderId="50" applyNumberFormat="0" applyAlignment="0" applyProtection="0"/>
    <xf numFmtId="0" fontId="1" fillId="32" borderId="59" applyNumberFormat="0" applyProtection="0">
      <alignment horizontal="left" vertical="center" indent="1"/>
    </xf>
    <xf numFmtId="4" fontId="38" fillId="24" borderId="52" applyNumberFormat="0" applyProtection="0">
      <alignment horizontal="right" vertical="center"/>
    </xf>
    <xf numFmtId="0" fontId="104" fillId="43" borderId="50" applyNumberFormat="0" applyAlignment="0" applyProtection="0"/>
    <xf numFmtId="4" fontId="38" fillId="26" borderId="59" applyNumberFormat="0" applyProtection="0">
      <alignment horizontal="right" vertical="center"/>
    </xf>
    <xf numFmtId="4" fontId="38" fillId="26" borderId="52" applyNumberFormat="0" applyProtection="0">
      <alignment horizontal="right" vertical="center"/>
    </xf>
    <xf numFmtId="0" fontId="1" fillId="58" borderId="51" applyNumberFormat="0" applyFont="0" applyAlignment="0" applyProtection="0"/>
    <xf numFmtId="4" fontId="38" fillId="27" borderId="52" applyNumberFormat="0" applyProtection="0">
      <alignment horizontal="right" vertical="center"/>
    </xf>
    <xf numFmtId="4" fontId="38" fillId="25" borderId="52" applyNumberFormat="0" applyProtection="0">
      <alignment horizontal="right" vertical="center"/>
    </xf>
    <xf numFmtId="4" fontId="38" fillId="22" borderId="52" applyNumberFormat="0" applyProtection="0">
      <alignment horizontal="right" vertical="center"/>
    </xf>
    <xf numFmtId="0" fontId="1" fillId="19" borderId="59" applyNumberFormat="0" applyProtection="0">
      <alignment horizontal="left" vertical="center" indent="1"/>
    </xf>
    <xf numFmtId="0" fontId="1" fillId="58" borderId="58" applyNumberFormat="0" applyFont="0" applyAlignment="0" applyProtection="0"/>
    <xf numFmtId="5" fontId="55" fillId="0" borderId="48">
      <alignment horizontal="left" vertical="top"/>
    </xf>
    <xf numFmtId="0" fontId="1" fillId="19" borderId="59" applyNumberFormat="0" applyProtection="0">
      <alignment horizontal="left" vertical="center" indent="1"/>
    </xf>
    <xf numFmtId="4" fontId="38" fillId="32" borderId="59" applyNumberFormat="0" applyProtection="0">
      <alignment horizontal="left" vertical="center" indent="1"/>
    </xf>
    <xf numFmtId="0" fontId="1" fillId="32" borderId="59" applyNumberFormat="0" applyProtection="0">
      <alignment horizontal="left" vertical="center" indent="1"/>
    </xf>
    <xf numFmtId="0" fontId="1" fillId="2" borderId="59" applyNumberFormat="0" applyProtection="0">
      <alignment horizontal="left" vertical="center" indent="1"/>
    </xf>
    <xf numFmtId="4" fontId="38" fillId="3" borderId="59" applyNumberFormat="0" applyProtection="0">
      <alignment horizontal="left" vertical="center" indent="1"/>
    </xf>
    <xf numFmtId="0" fontId="107" fillId="34" borderId="59" applyNumberFormat="0" applyAlignment="0" applyProtection="0"/>
    <xf numFmtId="0" fontId="109" fillId="0" borderId="60" applyNumberFormat="0" applyFill="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9" fillId="0" borderId="0" applyFont="0" applyFill="0" applyBorder="0" applyAlignment="0" applyProtection="0"/>
    <xf numFmtId="0" fontId="1" fillId="0" borderId="0"/>
    <xf numFmtId="0" fontId="1" fillId="0" borderId="0"/>
    <xf numFmtId="43" fontId="18" fillId="0" borderId="0" applyFont="0" applyFill="0" applyBorder="0" applyAlignment="0" applyProtection="0"/>
    <xf numFmtId="4" fontId="5" fillId="59" borderId="55" applyNumberFormat="0" applyProtection="0">
      <alignment horizontal="right" vertical="center"/>
    </xf>
    <xf numFmtId="0" fontId="5" fillId="34" borderId="55" applyNumberFormat="0" applyProtection="0">
      <alignment horizontal="left" vertical="center" indent="1"/>
    </xf>
    <xf numFmtId="0" fontId="5" fillId="44" borderId="56" applyNumberFormat="0" applyProtection="0">
      <alignment horizontal="left" vertical="top" indent="1"/>
    </xf>
    <xf numFmtId="0" fontId="5" fillId="59" borderId="56" applyNumberFormat="0" applyProtection="0">
      <alignment horizontal="left" vertical="top" indent="1"/>
    </xf>
    <xf numFmtId="0" fontId="5" fillId="60" borderId="56" applyNumberFormat="0" applyProtection="0">
      <alignment horizontal="left" vertical="top" indent="1"/>
    </xf>
    <xf numFmtId="4" fontId="5" fillId="50" borderId="55" applyNumberFormat="0" applyProtection="0">
      <alignment horizontal="left" vertical="center" indent="1"/>
    </xf>
    <xf numFmtId="4" fontId="111" fillId="15" borderId="55" applyNumberFormat="0" applyProtection="0">
      <alignment horizontal="right" vertical="center"/>
    </xf>
    <xf numFmtId="4" fontId="5" fillId="0" borderId="55" applyNumberFormat="0" applyProtection="0">
      <alignment horizontal="right" vertical="center"/>
    </xf>
    <xf numFmtId="4" fontId="38" fillId="25" borderId="59" applyNumberFormat="0" applyProtection="0">
      <alignment horizontal="right" vertical="center"/>
    </xf>
    <xf numFmtId="6" fontId="79" fillId="36" borderId="48"/>
    <xf numFmtId="5" fontId="36" fillId="0" borderId="47" applyAlignment="0" applyProtection="0"/>
    <xf numFmtId="5" fontId="77" fillId="30" borderId="48">
      <alignment vertical="top"/>
    </xf>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187" fontId="50" fillId="0" borderId="47"/>
    <xf numFmtId="0" fontId="2" fillId="0" borderId="3">
      <alignment horizontal="left" vertical="center"/>
    </xf>
    <xf numFmtId="0" fontId="1" fillId="33" borderId="59" applyNumberFormat="0" applyProtection="0">
      <alignment horizontal="left" vertical="center" indent="1"/>
    </xf>
    <xf numFmtId="0" fontId="1" fillId="2" borderId="59" applyNumberFormat="0" applyProtection="0">
      <alignment horizontal="left" vertical="center" indent="1"/>
    </xf>
    <xf numFmtId="0" fontId="1" fillId="19" borderId="59" applyNumberFormat="0" applyProtection="0">
      <alignment horizontal="left" vertical="center" indent="1"/>
    </xf>
    <xf numFmtId="0" fontId="1" fillId="19" borderId="59" applyNumberFormat="0" applyProtection="0">
      <alignment horizontal="left" vertical="center" indent="1"/>
    </xf>
    <xf numFmtId="4" fontId="38" fillId="3" borderId="59" applyNumberFormat="0" applyProtection="0">
      <alignment vertical="center"/>
    </xf>
    <xf numFmtId="4" fontId="64" fillId="3" borderId="59" applyNumberFormat="0" applyProtection="0">
      <alignment vertical="center"/>
    </xf>
    <xf numFmtId="4" fontId="38" fillId="3" borderId="59" applyNumberFormat="0" applyProtection="0">
      <alignment horizontal="left" vertical="center" indent="1"/>
    </xf>
    <xf numFmtId="4" fontId="38" fillId="30" borderId="59" applyNumberFormat="0" applyProtection="0">
      <alignment horizontal="right" vertical="center"/>
    </xf>
    <xf numFmtId="4" fontId="64" fillId="30" borderId="59" applyNumberFormat="0" applyProtection="0">
      <alignment horizontal="right" vertical="center"/>
    </xf>
    <xf numFmtId="0" fontId="1" fillId="19" borderId="59" applyNumberFormat="0" applyProtection="0">
      <alignment horizontal="left" vertical="center" indent="1"/>
    </xf>
    <xf numFmtId="4" fontId="68" fillId="30" borderId="59" applyNumberFormat="0" applyProtection="0">
      <alignment horizontal="right" vertical="center"/>
    </xf>
    <xf numFmtId="0" fontId="1" fillId="0" borderId="0"/>
    <xf numFmtId="0" fontId="43" fillId="0" borderId="0"/>
    <xf numFmtId="0" fontId="1" fillId="0" borderId="0"/>
    <xf numFmtId="9" fontId="19" fillId="0" borderId="0" applyFont="0" applyFill="0" applyBorder="0" applyAlignment="0" applyProtection="0"/>
    <xf numFmtId="4" fontId="38" fillId="18" borderId="59" applyNumberFormat="0" applyProtection="0">
      <alignment horizontal="left" vertical="center" indent="1"/>
    </xf>
    <xf numFmtId="0" fontId="1" fillId="19" borderId="59" applyNumberFormat="0" applyProtection="0">
      <alignment horizontal="left" vertical="center" indent="1"/>
    </xf>
    <xf numFmtId="4" fontId="38" fillId="20" borderId="59" applyNumberFormat="0" applyProtection="0">
      <alignment horizontal="right" vertical="center"/>
    </xf>
    <xf numFmtId="4" fontId="38" fillId="21" borderId="59" applyNumberFormat="0" applyProtection="0">
      <alignment horizontal="right" vertical="center"/>
    </xf>
    <xf numFmtId="4" fontId="38" fillId="22" borderId="59" applyNumberFormat="0" applyProtection="0">
      <alignment horizontal="right" vertical="center"/>
    </xf>
    <xf numFmtId="0" fontId="2" fillId="0" borderId="57">
      <alignment horizontal="left" vertical="center"/>
    </xf>
    <xf numFmtId="4" fontId="38" fillId="23" borderId="59" applyNumberFormat="0" applyProtection="0">
      <alignment horizontal="right" vertical="center"/>
    </xf>
    <xf numFmtId="4" fontId="38" fillId="30" borderId="59" applyNumberFormat="0" applyProtection="0">
      <alignment horizontal="left" vertical="center" indent="1"/>
    </xf>
    <xf numFmtId="4" fontId="38" fillId="18" borderId="59" applyNumberFormat="0" applyProtection="0">
      <alignment vertical="center"/>
    </xf>
    <xf numFmtId="4" fontId="64" fillId="18" borderId="59" applyNumberFormat="0" applyProtection="0">
      <alignment vertical="center"/>
    </xf>
    <xf numFmtId="4" fontId="38" fillId="18" borderId="59" applyNumberFormat="0" applyProtection="0">
      <alignment horizontal="left" vertical="center" indent="1"/>
    </xf>
    <xf numFmtId="4" fontId="5" fillId="0" borderId="45" applyNumberFormat="0" applyProtection="0">
      <alignment horizontal="right" vertical="center"/>
    </xf>
    <xf numFmtId="4" fontId="111" fillId="15" borderId="45" applyNumberFormat="0" applyProtection="0">
      <alignment horizontal="right" vertical="center"/>
    </xf>
    <xf numFmtId="4" fontId="5" fillId="50" borderId="45" applyNumberFormat="0" applyProtection="0">
      <alignment horizontal="left" vertical="center" indent="1"/>
    </xf>
    <xf numFmtId="0" fontId="5" fillId="60" borderId="46" applyNumberFormat="0" applyProtection="0">
      <alignment horizontal="left" vertical="top" indent="1"/>
    </xf>
    <xf numFmtId="0" fontId="5" fillId="59" borderId="46" applyNumberFormat="0" applyProtection="0">
      <alignment horizontal="left" vertical="top" indent="1"/>
    </xf>
    <xf numFmtId="0" fontId="5" fillId="44" borderId="46" applyNumberFormat="0" applyProtection="0">
      <alignment horizontal="left" vertical="top" indent="1"/>
    </xf>
    <xf numFmtId="0" fontId="5" fillId="34" borderId="45" applyNumberFormat="0" applyProtection="0">
      <alignment horizontal="left" vertical="center" indent="1"/>
    </xf>
    <xf numFmtId="4" fontId="5" fillId="59" borderId="45" applyNumberFormat="0" applyProtection="0">
      <alignment horizontal="right" vertical="center"/>
    </xf>
    <xf numFmtId="4" fontId="5" fillId="0" borderId="45" applyNumberFormat="0" applyProtection="0">
      <alignment horizontal="right" vertical="center"/>
    </xf>
    <xf numFmtId="4" fontId="111" fillId="15" borderId="45" applyNumberFormat="0" applyProtection="0">
      <alignment horizontal="right" vertical="center"/>
    </xf>
    <xf numFmtId="0" fontId="5" fillId="61" borderId="45" applyNumberFormat="0" applyProtection="0">
      <alignment horizontal="left" vertical="center" indent="1"/>
    </xf>
    <xf numFmtId="0" fontId="5" fillId="44" borderId="45" applyNumberFormat="0" applyProtection="0">
      <alignment horizontal="left" vertical="center" indent="1"/>
    </xf>
    <xf numFmtId="0" fontId="5" fillId="62" borderId="45" applyNumberFormat="0" applyProtection="0">
      <alignment horizontal="left" vertical="center" indent="1"/>
    </xf>
    <xf numFmtId="4" fontId="112" fillId="63" borderId="45" applyNumberFormat="0" applyProtection="0">
      <alignment horizontal="right" vertical="center"/>
    </xf>
    <xf numFmtId="4" fontId="5" fillId="50" borderId="45" applyNumberFormat="0" applyProtection="0">
      <alignment horizontal="left" vertical="center" indent="1"/>
    </xf>
    <xf numFmtId="4" fontId="5" fillId="0" borderId="45" applyNumberFormat="0" applyProtection="0">
      <alignment horizontal="right" vertical="center"/>
    </xf>
    <xf numFmtId="0" fontId="5" fillId="34" borderId="45" applyNumberFormat="0" applyProtection="0">
      <alignment horizontal="left" vertical="center" indent="1"/>
    </xf>
    <xf numFmtId="0" fontId="5" fillId="59" borderId="46" applyNumberFormat="0" applyProtection="0">
      <alignment horizontal="left" vertical="top" indent="1"/>
    </xf>
    <xf numFmtId="4" fontId="38" fillId="21" borderId="52" applyNumberFormat="0" applyProtection="0">
      <alignment horizontal="right" vertical="center"/>
    </xf>
    <xf numFmtId="4" fontId="112" fillId="63" borderId="45" applyNumberFormat="0" applyProtection="0">
      <alignment horizontal="right" vertical="center"/>
    </xf>
    <xf numFmtId="0" fontId="5" fillId="62" borderId="45" applyNumberFormat="0" applyProtection="0">
      <alignment horizontal="left" vertical="center" indent="1"/>
    </xf>
    <xf numFmtId="0" fontId="5" fillId="44" borderId="45" applyNumberFormat="0" applyProtection="0">
      <alignment horizontal="left" vertical="center" indent="1"/>
    </xf>
    <xf numFmtId="0" fontId="5" fillId="61" borderId="45" applyNumberFormat="0" applyProtection="0">
      <alignment horizontal="left" vertical="center" indent="1"/>
    </xf>
    <xf numFmtId="4" fontId="5" fillId="59" borderId="45" applyNumberFormat="0" applyProtection="0">
      <alignment horizontal="right" vertical="center"/>
    </xf>
    <xf numFmtId="0" fontId="5" fillId="44" borderId="46" applyNumberFormat="0" applyProtection="0">
      <alignment horizontal="left" vertical="top" indent="1"/>
    </xf>
    <xf numFmtId="0" fontId="5" fillId="60" borderId="46" applyNumberFormat="0" applyProtection="0">
      <alignment horizontal="left" vertical="top" indent="1"/>
    </xf>
    <xf numFmtId="4" fontId="38" fillId="20" borderId="52" applyNumberFormat="0" applyProtection="0">
      <alignment horizontal="right" vertical="center"/>
    </xf>
    <xf numFmtId="0" fontId="2" fillId="0" borderId="49">
      <alignment horizontal="lef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56" applyNumberFormat="0" applyProtection="0">
      <alignment horizontal="left" vertical="top" indent="1"/>
    </xf>
    <xf numFmtId="4" fontId="38" fillId="30" borderId="54" applyNumberFormat="0" applyProtection="0">
      <alignment horizontal="left" vertical="center"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94" fillId="58" borderId="51" applyNumberFormat="0" applyFont="0" applyAlignment="0" applyProtection="0"/>
    <xf numFmtId="0" fontId="5" fillId="44" borderId="56" applyNumberFormat="0" applyProtection="0">
      <alignment horizontal="left" vertical="top" indent="1"/>
    </xf>
    <xf numFmtId="0" fontId="5" fillId="60" borderId="56" applyNumberFormat="0" applyProtection="0">
      <alignment horizontal="left" vertical="top" indent="1"/>
    </xf>
    <xf numFmtId="4" fontId="38" fillId="28" borderId="59" applyNumberFormat="0" applyProtection="0">
      <alignment horizontal="right" vertical="center"/>
    </xf>
    <xf numFmtId="0" fontId="94" fillId="58" borderId="51" applyNumberFormat="0" applyFont="0" applyAlignment="0" applyProtection="0"/>
    <xf numFmtId="4" fontId="38" fillId="27" borderId="59" applyNumberFormat="0" applyProtection="0">
      <alignment horizontal="right" vertical="center"/>
    </xf>
    <xf numFmtId="4" fontId="38" fillId="24" borderId="59" applyNumberFormat="0" applyProtection="0">
      <alignment horizontal="right" vertical="center"/>
    </xf>
    <xf numFmtId="4" fontId="65" fillId="29" borderId="59" applyNumberFormat="0" applyProtection="0">
      <alignment horizontal="left" vertical="center" indent="1"/>
    </xf>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60" borderId="56" applyNumberFormat="0" applyProtection="0">
      <alignment horizontal="left" vertical="top" indent="1"/>
    </xf>
    <xf numFmtId="0" fontId="5" fillId="59" borderId="56" applyNumberFormat="0" applyProtection="0">
      <alignment horizontal="left" vertical="top" indent="1"/>
    </xf>
    <xf numFmtId="0" fontId="5" fillId="44" borderId="56" applyNumberFormat="0" applyProtection="0">
      <alignment horizontal="left" vertical="top"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56" applyNumberFormat="0" applyProtection="0">
      <alignment horizontal="left" vertical="top"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94" fillId="58" borderId="58" applyNumberFormat="0" applyFont="0" applyAlignment="0" applyProtection="0"/>
    <xf numFmtId="0" fontId="5" fillId="44" borderId="56" applyNumberFormat="0" applyProtection="0">
      <alignment horizontal="left" vertical="top" indent="1"/>
    </xf>
    <xf numFmtId="0" fontId="5" fillId="60" borderId="56" applyNumberFormat="0" applyProtection="0">
      <alignment horizontal="left" vertical="top" indent="1"/>
    </xf>
    <xf numFmtId="0" fontId="94" fillId="58" borderId="58" applyNumberFormat="0" applyFont="0" applyAlignment="0" applyProtection="0"/>
    <xf numFmtId="0" fontId="5" fillId="61" borderId="72" applyNumberFormat="0" applyProtection="0">
      <alignment horizontal="left" vertical="center" indent="1"/>
    </xf>
    <xf numFmtId="0" fontId="5" fillId="44" borderId="72" applyNumberFormat="0" applyProtection="0">
      <alignment horizontal="left" vertical="center" indent="1"/>
    </xf>
    <xf numFmtId="0" fontId="5" fillId="62" borderId="72" applyNumberFormat="0" applyProtection="0">
      <alignment horizontal="left" vertical="center" indent="1"/>
    </xf>
    <xf numFmtId="4" fontId="112" fillId="63" borderId="72" applyNumberFormat="0" applyProtection="0">
      <alignment horizontal="right" vertical="center"/>
    </xf>
    <xf numFmtId="9" fontId="43" fillId="0" borderId="0" applyFont="0" applyFill="0" applyBorder="0" applyAlignment="0" applyProtection="0"/>
    <xf numFmtId="43" fontId="1" fillId="0" borderId="0" applyFont="0" applyFill="0" applyBorder="0" applyAlignment="0" applyProtection="0"/>
    <xf numFmtId="4" fontId="38" fillId="30" borderId="98" applyNumberFormat="0" applyProtection="0">
      <alignment horizontal="left" vertical="center" indent="1"/>
    </xf>
    <xf numFmtId="43" fontId="1" fillId="0" borderId="0" applyFont="0" applyFill="0" applyBorder="0" applyAlignment="0" applyProtection="0"/>
    <xf numFmtId="0" fontId="5" fillId="59" borderId="73" applyNumberFormat="0" applyProtection="0">
      <alignment horizontal="left" vertical="top" indent="1"/>
    </xf>
    <xf numFmtId="0" fontId="5" fillId="34" borderId="72" applyNumberFormat="0" applyProtection="0">
      <alignment horizontal="left" vertical="center" indent="1"/>
    </xf>
    <xf numFmtId="4" fontId="5" fillId="0" borderId="72" applyNumberFormat="0" applyProtection="0">
      <alignment horizontal="right" vertical="center"/>
    </xf>
    <xf numFmtId="4" fontId="5" fillId="50" borderId="72" applyNumberFormat="0" applyProtection="0">
      <alignment horizontal="left" vertical="center" indent="1"/>
    </xf>
    <xf numFmtId="4" fontId="112" fillId="63" borderId="72" applyNumberFormat="0" applyProtection="0">
      <alignment horizontal="right" vertical="center"/>
    </xf>
    <xf numFmtId="0" fontId="5" fillId="62" borderId="72" applyNumberFormat="0" applyProtection="0">
      <alignment horizontal="left" vertical="center" indent="1"/>
    </xf>
    <xf numFmtId="0" fontId="5" fillId="44" borderId="72" applyNumberFormat="0" applyProtection="0">
      <alignment horizontal="left" vertical="center" indent="1"/>
    </xf>
    <xf numFmtId="0" fontId="5" fillId="61" borderId="72" applyNumberFormat="0" applyProtection="0">
      <alignment horizontal="left" vertical="center" indent="1"/>
    </xf>
    <xf numFmtId="4" fontId="111" fillId="15" borderId="72" applyNumberFormat="0" applyProtection="0">
      <alignment horizontal="right" vertical="center"/>
    </xf>
    <xf numFmtId="4" fontId="5" fillId="0" borderId="72" applyNumberFormat="0" applyProtection="0">
      <alignment horizontal="right" vertical="center"/>
    </xf>
    <xf numFmtId="0" fontId="18" fillId="0" borderId="0"/>
    <xf numFmtId="4" fontId="111" fillId="15" borderId="72" applyNumberFormat="0" applyProtection="0">
      <alignment horizontal="right" vertical="center"/>
    </xf>
    <xf numFmtId="4" fontId="38" fillId="24" borderId="98" applyNumberFormat="0" applyProtection="0">
      <alignment horizontal="right" vertical="center"/>
    </xf>
    <xf numFmtId="9" fontId="1" fillId="0" borderId="0" applyFont="0" applyFill="0" applyBorder="0" applyAlignment="0" applyProtection="0"/>
    <xf numFmtId="5" fontId="36" fillId="0" borderId="61" applyAlignment="0" applyProtection="0"/>
    <xf numFmtId="9" fontId="1" fillId="0" borderId="0" applyFont="0" applyFill="0" applyBorder="0" applyAlignment="0" applyProtection="0"/>
    <xf numFmtId="41" fontId="1" fillId="0" borderId="0" applyFont="0" applyFill="0" applyBorder="0" applyAlignment="0" applyProtection="0"/>
    <xf numFmtId="0" fontId="107" fillId="34" borderId="68" applyNumberFormat="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38" fillId="24" borderId="98" applyNumberFormat="0" applyProtection="0">
      <alignment horizontal="right" vertical="center"/>
    </xf>
    <xf numFmtId="4" fontId="38" fillId="23" borderId="98" applyNumberFormat="0" applyProtection="0">
      <alignment horizontal="right" vertical="center"/>
    </xf>
    <xf numFmtId="0" fontId="11" fillId="0" borderId="0"/>
    <xf numFmtId="0" fontId="11" fillId="0" borderId="0"/>
    <xf numFmtId="0" fontId="1" fillId="32" borderId="98" applyNumberFormat="0" applyProtection="0">
      <alignment horizontal="left" vertical="center" indent="1"/>
    </xf>
    <xf numFmtId="5" fontId="77" fillId="30" borderId="70">
      <alignment vertical="top"/>
    </xf>
    <xf numFmtId="4" fontId="38" fillId="20" borderId="98" applyNumberFormat="0" applyProtection="0">
      <alignment horizontal="right" vertical="center"/>
    </xf>
    <xf numFmtId="6" fontId="79" fillId="36" borderId="70"/>
    <xf numFmtId="5" fontId="55" fillId="0" borderId="70">
      <alignment horizontal="left" vertical="top"/>
    </xf>
    <xf numFmtId="0" fontId="11" fillId="0" borderId="0"/>
    <xf numFmtId="187" fontId="50" fillId="0" borderId="61"/>
    <xf numFmtId="43" fontId="18" fillId="0" borderId="0" applyFont="0" applyFill="0" applyBorder="0" applyAlignment="0" applyProtection="0"/>
    <xf numFmtId="0" fontId="1" fillId="0" borderId="0"/>
    <xf numFmtId="0" fontId="11" fillId="0" borderId="0"/>
    <xf numFmtId="0" fontId="2" fillId="0" borderId="49">
      <alignment horizontal="left" vertical="center"/>
    </xf>
    <xf numFmtId="0" fontId="1" fillId="0" borderId="0"/>
    <xf numFmtId="4" fontId="38" fillId="27" borderId="98" applyNumberFormat="0" applyProtection="0">
      <alignment horizontal="right" vertical="center"/>
    </xf>
    <xf numFmtId="4" fontId="65" fillId="29" borderId="98" applyNumberFormat="0" applyProtection="0">
      <alignment horizontal="left" vertical="center" indent="1"/>
    </xf>
    <xf numFmtId="0" fontId="1" fillId="19" borderId="98" applyNumberFormat="0" applyProtection="0">
      <alignment horizontal="left" vertical="center" indent="1"/>
    </xf>
    <xf numFmtId="4" fontId="38" fillId="30" borderId="98" applyNumberFormat="0" applyProtection="0">
      <alignment horizontal="left" vertical="center" indent="1"/>
    </xf>
    <xf numFmtId="0" fontId="1" fillId="32" borderId="98" applyNumberFormat="0" applyProtection="0">
      <alignment horizontal="left" vertical="center" indent="1"/>
    </xf>
    <xf numFmtId="0" fontId="1" fillId="33" borderId="98" applyNumberFormat="0" applyProtection="0">
      <alignment horizontal="left" vertical="center" indent="1"/>
    </xf>
    <xf numFmtId="0" fontId="1" fillId="33" borderId="98" applyNumberFormat="0" applyProtection="0">
      <alignment horizontal="left" vertical="center" indent="1"/>
    </xf>
    <xf numFmtId="4" fontId="64" fillId="3" borderId="98" applyNumberFormat="0" applyProtection="0">
      <alignment vertical="center"/>
    </xf>
    <xf numFmtId="4" fontId="38" fillId="3" borderId="98" applyNumberFormat="0" applyProtection="0">
      <alignment horizontal="left" vertical="center" indent="1"/>
    </xf>
    <xf numFmtId="4" fontId="38" fillId="3" borderId="98" applyNumberFormat="0" applyProtection="0">
      <alignment horizontal="left" vertical="center" indent="1"/>
    </xf>
    <xf numFmtId="0" fontId="1" fillId="0" borderId="0"/>
    <xf numFmtId="0" fontId="1" fillId="2" borderId="98" applyNumberFormat="0" applyProtection="0">
      <alignment horizontal="left" vertical="center" indent="1"/>
    </xf>
    <xf numFmtId="43" fontId="18" fillId="0" borderId="0" applyFont="0" applyFill="0" applyBorder="0" applyAlignment="0" applyProtection="0"/>
    <xf numFmtId="0" fontId="43" fillId="0" borderId="0"/>
    <xf numFmtId="0" fontId="1" fillId="19" borderId="98" applyNumberFormat="0" applyProtection="0">
      <alignment horizontal="left" vertical="center" indent="1"/>
    </xf>
    <xf numFmtId="0" fontId="1" fillId="0" borderId="0"/>
    <xf numFmtId="4" fontId="38" fillId="32" borderId="98" applyNumberFormat="0" applyProtection="0">
      <alignment horizontal="left" vertical="center" indent="1"/>
    </xf>
    <xf numFmtId="0" fontId="11" fillId="0" borderId="0"/>
    <xf numFmtId="0" fontId="11" fillId="0" borderId="0"/>
    <xf numFmtId="5" fontId="36" fillId="0" borderId="86" applyAlignment="0" applyProtection="0"/>
    <xf numFmtId="9" fontId="19" fillId="0" borderId="0" applyFont="0" applyFill="0" applyBorder="0" applyAlignment="0" applyProtection="0"/>
    <xf numFmtId="5" fontId="77" fillId="30" borderId="100">
      <alignment vertical="top"/>
    </xf>
    <xf numFmtId="9" fontId="43" fillId="0" borderId="0" applyFont="0" applyFill="0" applyBorder="0" applyAlignment="0" applyProtection="0"/>
    <xf numFmtId="9" fontId="43" fillId="0" borderId="0" applyFont="0" applyFill="0" applyBorder="0" applyAlignment="0" applyProtection="0"/>
    <xf numFmtId="4" fontId="38" fillId="30" borderId="63" applyNumberFormat="0" applyProtection="0">
      <alignment horizontal="left" vertical="center" indent="1"/>
    </xf>
    <xf numFmtId="4" fontId="65" fillId="29" borderId="68" applyNumberFormat="0" applyProtection="0">
      <alignment horizontal="left" vertical="center" indent="1"/>
    </xf>
    <xf numFmtId="4" fontId="38" fillId="28" borderId="68" applyNumberFormat="0" applyProtection="0">
      <alignment horizontal="right" vertical="center"/>
    </xf>
    <xf numFmtId="4" fontId="38" fillId="27" borderId="68" applyNumberFormat="0" applyProtection="0">
      <alignment horizontal="right" vertical="center"/>
    </xf>
    <xf numFmtId="4" fontId="38" fillId="26" borderId="68" applyNumberFormat="0" applyProtection="0">
      <alignment horizontal="right" vertical="center"/>
    </xf>
    <xf numFmtId="4" fontId="38" fillId="25" borderId="68" applyNumberFormat="0" applyProtection="0">
      <alignment horizontal="right" vertical="center"/>
    </xf>
    <xf numFmtId="4" fontId="38" fillId="24" borderId="68" applyNumberFormat="0" applyProtection="0">
      <alignment horizontal="right" vertical="center"/>
    </xf>
    <xf numFmtId="4" fontId="38" fillId="23" borderId="68" applyNumberFormat="0" applyProtection="0">
      <alignment horizontal="right" vertical="center"/>
    </xf>
    <xf numFmtId="4" fontId="38" fillId="22" borderId="68" applyNumberFormat="0" applyProtection="0">
      <alignment horizontal="right" vertical="center"/>
    </xf>
    <xf numFmtId="4" fontId="38" fillId="21" borderId="68" applyNumberFormat="0" applyProtection="0">
      <alignment horizontal="right" vertical="center"/>
    </xf>
    <xf numFmtId="4" fontId="38" fillId="20" borderId="68" applyNumberFormat="0" applyProtection="0">
      <alignment horizontal="right" vertical="center"/>
    </xf>
    <xf numFmtId="0" fontId="1" fillId="19" borderId="68" applyNumberFormat="0" applyProtection="0">
      <alignment horizontal="left" vertical="center" indent="1"/>
    </xf>
    <xf numFmtId="4" fontId="38" fillId="18" borderId="68" applyNumberFormat="0" applyProtection="0">
      <alignment horizontal="left" vertical="center" indent="1"/>
    </xf>
    <xf numFmtId="4" fontId="38" fillId="18" borderId="68" applyNumberFormat="0" applyProtection="0">
      <alignment horizontal="left" vertical="center" indent="1"/>
    </xf>
    <xf numFmtId="4" fontId="64" fillId="18" borderId="68" applyNumberFormat="0" applyProtection="0">
      <alignment vertical="center"/>
    </xf>
    <xf numFmtId="5" fontId="55" fillId="0" borderId="100">
      <alignment horizontal="left" vertical="top"/>
    </xf>
    <xf numFmtId="43" fontId="1" fillId="0" borderId="0" applyFont="0" applyFill="0" applyBorder="0" applyAlignment="0" applyProtection="0"/>
    <xf numFmtId="9" fontId="4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 fontId="38" fillId="28" borderId="52" applyNumberFormat="0" applyProtection="0">
      <alignment horizontal="right" vertical="center"/>
    </xf>
    <xf numFmtId="0" fontId="43" fillId="0" borderId="0"/>
    <xf numFmtId="0" fontId="1" fillId="0" borderId="0"/>
    <xf numFmtId="0" fontId="104" fillId="43" borderId="102" applyNumberFormat="0" applyAlignment="0" applyProtection="0"/>
    <xf numFmtId="43" fontId="1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6" fontId="79" fillId="36" borderId="100"/>
    <xf numFmtId="5" fontId="77" fillId="30" borderId="100">
      <alignment vertical="top"/>
    </xf>
    <xf numFmtId="0" fontId="11" fillId="0" borderId="0"/>
    <xf numFmtId="0" fontId="11" fillId="0" borderId="0"/>
    <xf numFmtId="5" fontId="36" fillId="0" borderId="71" applyAlignment="0" applyProtection="0"/>
    <xf numFmtId="0" fontId="1" fillId="0" borderId="0"/>
    <xf numFmtId="0" fontId="11" fillId="0" borderId="0"/>
    <xf numFmtId="0" fontId="11" fillId="0" borderId="0"/>
    <xf numFmtId="0" fontId="11" fillId="0" borderId="0"/>
    <xf numFmtId="0" fontId="11" fillId="0" borderId="0"/>
    <xf numFmtId="4" fontId="38" fillId="25" borderId="98" applyNumberFormat="0" applyProtection="0">
      <alignment horizontal="right" vertical="center"/>
    </xf>
    <xf numFmtId="4" fontId="38" fillId="24" borderId="98" applyNumberFormat="0" applyProtection="0">
      <alignment horizontal="right" vertical="center"/>
    </xf>
    <xf numFmtId="4" fontId="38" fillId="23" borderId="98" applyNumberFormat="0" applyProtection="0">
      <alignment horizontal="right" vertical="center"/>
    </xf>
    <xf numFmtId="0" fontId="11" fillId="0" borderId="0"/>
    <xf numFmtId="4" fontId="38" fillId="22" borderId="98" applyNumberFormat="0" applyProtection="0">
      <alignment horizontal="right" vertical="center"/>
    </xf>
    <xf numFmtId="4" fontId="38" fillId="21" borderId="98" applyNumberFormat="0" applyProtection="0">
      <alignment horizontal="right" vertical="center"/>
    </xf>
    <xf numFmtId="4" fontId="38" fillId="20" borderId="98" applyNumberFormat="0" applyProtection="0">
      <alignment horizontal="right" vertical="center"/>
    </xf>
    <xf numFmtId="0" fontId="1" fillId="19" borderId="98" applyNumberFormat="0" applyProtection="0">
      <alignment horizontal="left" vertical="center" indent="1"/>
    </xf>
    <xf numFmtId="4" fontId="38" fillId="18" borderId="98" applyNumberFormat="0" applyProtection="0">
      <alignment horizontal="left" vertical="center" indent="1"/>
    </xf>
    <xf numFmtId="4" fontId="64" fillId="18" borderId="98" applyNumberFormat="0" applyProtection="0">
      <alignment vertical="center"/>
    </xf>
    <xf numFmtId="4" fontId="38" fillId="18" borderId="98" applyNumberFormat="0" applyProtection="0">
      <alignment vertical="center"/>
    </xf>
    <xf numFmtId="0" fontId="1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8" fillId="0" borderId="0" applyFont="0" applyFill="0" applyBorder="0" applyAlignment="0" applyProtection="0"/>
    <xf numFmtId="0" fontId="1" fillId="0" borderId="0"/>
    <xf numFmtId="4" fontId="64" fillId="18" borderId="98" applyNumberFormat="0" applyProtection="0">
      <alignment vertical="center"/>
    </xf>
    <xf numFmtId="0" fontId="11" fillId="0" borderId="0"/>
    <xf numFmtId="9" fontId="19" fillId="0" borderId="0" applyFont="0" applyFill="0" applyBorder="0" applyAlignment="0" applyProtection="0"/>
    <xf numFmtId="4" fontId="38" fillId="28" borderId="98" applyNumberFormat="0" applyProtection="0">
      <alignment horizontal="right" vertical="center"/>
    </xf>
    <xf numFmtId="4" fontId="38" fillId="30" borderId="98" applyNumberFormat="0" applyProtection="0">
      <alignment horizontal="right" vertical="center"/>
    </xf>
    <xf numFmtId="0" fontId="43" fillId="0" borderId="0"/>
    <xf numFmtId="43" fontId="19" fillId="0" borderId="0" applyFont="0" applyFill="0" applyBorder="0" applyAlignment="0" applyProtection="0"/>
    <xf numFmtId="0" fontId="18" fillId="0" borderId="0"/>
    <xf numFmtId="0" fontId="1" fillId="0" borderId="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0" fontId="1" fillId="0" borderId="0"/>
    <xf numFmtId="4" fontId="5" fillId="59" borderId="72" applyNumberFormat="0" applyProtection="0">
      <alignment horizontal="right" vertical="center"/>
    </xf>
    <xf numFmtId="0" fontId="5" fillId="34" borderId="72" applyNumberFormat="0" applyProtection="0">
      <alignment horizontal="left" vertical="center" indent="1"/>
    </xf>
    <xf numFmtId="0" fontId="5" fillId="44" borderId="73" applyNumberFormat="0" applyProtection="0">
      <alignment horizontal="left" vertical="top" indent="1"/>
    </xf>
    <xf numFmtId="0" fontId="5" fillId="59" borderId="73" applyNumberFormat="0" applyProtection="0">
      <alignment horizontal="left" vertical="top" indent="1"/>
    </xf>
    <xf numFmtId="0" fontId="5" fillId="60" borderId="73" applyNumberFormat="0" applyProtection="0">
      <alignment horizontal="left" vertical="top" indent="1"/>
    </xf>
    <xf numFmtId="4" fontId="5" fillId="50" borderId="72" applyNumberFormat="0" applyProtection="0">
      <alignment horizontal="left" vertical="center" indent="1"/>
    </xf>
    <xf numFmtId="4" fontId="5" fillId="0" borderId="72" applyNumberFormat="0" applyProtection="0">
      <alignment horizontal="right" vertical="center"/>
    </xf>
    <xf numFmtId="9" fontId="43" fillId="0" borderId="0" applyFont="0" applyFill="0" applyBorder="0" applyAlignment="0" applyProtection="0"/>
    <xf numFmtId="0" fontId="109" fillId="0" borderId="53" applyNumberFormat="0" applyFill="0" applyAlignment="0" applyProtection="0"/>
    <xf numFmtId="0" fontId="1" fillId="58" borderId="51" applyNumberFormat="0" applyFont="0" applyAlignment="0" applyProtection="0"/>
    <xf numFmtId="0" fontId="11" fillId="0" borderId="0"/>
    <xf numFmtId="0" fontId="1" fillId="0" borderId="0"/>
    <xf numFmtId="0" fontId="43" fillId="0" borderId="0"/>
    <xf numFmtId="4" fontId="38" fillId="30" borderId="98" applyNumberFormat="0" applyProtection="0">
      <alignment horizontal="right" vertical="center"/>
    </xf>
    <xf numFmtId="4" fontId="38" fillId="28" borderId="98" applyNumberFormat="0" applyProtection="0">
      <alignment horizontal="right" vertical="center"/>
    </xf>
    <xf numFmtId="43" fontId="29"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0" fontId="2" fillId="0" borderId="88">
      <alignment horizontal="left" vertical="center"/>
    </xf>
    <xf numFmtId="43" fontId="11" fillId="0" borderId="0" applyFont="0" applyFill="0" applyBorder="0" applyAlignment="0" applyProtection="0"/>
    <xf numFmtId="9" fontId="19" fillId="0" borderId="0" applyFont="0" applyFill="0" applyBorder="0" applyAlignment="0" applyProtection="0"/>
    <xf numFmtId="0" fontId="11" fillId="0" borderId="0"/>
    <xf numFmtId="43" fontId="1" fillId="0" borderId="0" applyFont="0" applyFill="0" applyBorder="0" applyAlignment="0" applyProtection="0"/>
    <xf numFmtId="43" fontId="1" fillId="0" borderId="0" applyFont="0" applyFill="0" applyBorder="0" applyAlignment="0" applyProtection="0"/>
    <xf numFmtId="0" fontId="11" fillId="0" borderId="0"/>
    <xf numFmtId="43" fontId="43" fillId="0" borderId="0" applyFont="0" applyFill="0" applyBorder="0" applyAlignment="0" applyProtection="0"/>
    <xf numFmtId="43" fontId="29" fillId="0" borderId="0" applyFont="0" applyFill="0" applyBorder="0" applyAlignment="0" applyProtection="0"/>
    <xf numFmtId="5" fontId="55" fillId="0" borderId="100">
      <alignment horizontal="left" vertical="top"/>
    </xf>
    <xf numFmtId="6" fontId="79" fillId="36" borderId="100"/>
    <xf numFmtId="4" fontId="38" fillId="18" borderId="52" applyNumberFormat="0" applyProtection="0">
      <alignment vertical="center"/>
    </xf>
    <xf numFmtId="4" fontId="64" fillId="18" borderId="52" applyNumberFormat="0" applyProtection="0">
      <alignment vertical="center"/>
    </xf>
    <xf numFmtId="4" fontId="38" fillId="18" borderId="52" applyNumberFormat="0" applyProtection="0">
      <alignment horizontal="left" vertical="center" indent="1"/>
    </xf>
    <xf numFmtId="4" fontId="38" fillId="21" borderId="52" applyNumberFormat="0" applyProtection="0">
      <alignment horizontal="right" vertical="center"/>
    </xf>
    <xf numFmtId="4" fontId="38" fillId="22" borderId="52" applyNumberFormat="0" applyProtection="0">
      <alignment horizontal="right" vertical="center"/>
    </xf>
    <xf numFmtId="0" fontId="11" fillId="0" borderId="0"/>
    <xf numFmtId="4" fontId="38" fillId="23" borderId="52" applyNumberFormat="0" applyProtection="0">
      <alignment horizontal="right" vertical="center"/>
    </xf>
    <xf numFmtId="4" fontId="38" fillId="24" borderId="52" applyNumberFormat="0" applyProtection="0">
      <alignment horizontal="right" vertical="center"/>
    </xf>
    <xf numFmtId="4" fontId="38" fillId="25" borderId="52" applyNumberFormat="0" applyProtection="0">
      <alignment horizontal="right" vertical="center"/>
    </xf>
    <xf numFmtId="4" fontId="38" fillId="26" borderId="52" applyNumberFormat="0" applyProtection="0">
      <alignment horizontal="right" vertical="center"/>
    </xf>
    <xf numFmtId="4" fontId="38" fillId="27" borderId="52" applyNumberFormat="0" applyProtection="0">
      <alignment horizontal="right" vertical="center"/>
    </xf>
    <xf numFmtId="4" fontId="65" fillId="29" borderId="52" applyNumberFormat="0" applyProtection="0">
      <alignment horizontal="left" vertical="center" indent="1"/>
    </xf>
    <xf numFmtId="4" fontId="38" fillId="30" borderId="63" applyNumberFormat="0" applyProtection="0">
      <alignment horizontal="left" vertical="center" indent="1"/>
    </xf>
    <xf numFmtId="0" fontId="1" fillId="19" borderId="52" applyNumberFormat="0" applyProtection="0">
      <alignment horizontal="left" vertical="center" indent="1"/>
    </xf>
    <xf numFmtId="4" fontId="38" fillId="30" borderId="52" applyNumberFormat="0" applyProtection="0">
      <alignment horizontal="left" vertical="center" indent="1"/>
    </xf>
    <xf numFmtId="4" fontId="38" fillId="32" borderId="52" applyNumberFormat="0" applyProtection="0">
      <alignment horizontal="left" vertical="center" indent="1"/>
    </xf>
    <xf numFmtId="0" fontId="1" fillId="33" borderId="52" applyNumberFormat="0" applyProtection="0">
      <alignment horizontal="left" vertical="center" indent="1"/>
    </xf>
    <xf numFmtId="4" fontId="64" fillId="3" borderId="52" applyNumberFormat="0" applyProtection="0">
      <alignment vertical="center"/>
    </xf>
    <xf numFmtId="4" fontId="38" fillId="3" borderId="52" applyNumberFormat="0" applyProtection="0">
      <alignment horizontal="left" vertical="center" indent="1"/>
    </xf>
    <xf numFmtId="4" fontId="38" fillId="3" borderId="52" applyNumberFormat="0" applyProtection="0">
      <alignment horizontal="left" vertical="center" indent="1"/>
    </xf>
    <xf numFmtId="0" fontId="11" fillId="0" borderId="0"/>
    <xf numFmtId="0" fontId="1" fillId="2" borderId="52" applyNumberFormat="0" applyProtection="0">
      <alignment horizontal="left" vertical="center" indent="1"/>
    </xf>
    <xf numFmtId="4" fontId="64" fillId="30" borderId="52" applyNumberFormat="0" applyProtection="0">
      <alignment horizontal="right" vertical="center"/>
    </xf>
    <xf numFmtId="41"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 fillId="0" borderId="0"/>
    <xf numFmtId="43" fontId="11" fillId="0" borderId="0" applyFont="0" applyFill="0" applyBorder="0" applyAlignment="0" applyProtection="0"/>
    <xf numFmtId="0" fontId="11" fillId="0" borderId="0"/>
    <xf numFmtId="43" fontId="1" fillId="0" borderId="0" applyFont="0" applyFill="0" applyBorder="0" applyAlignment="0" applyProtection="0"/>
    <xf numFmtId="9" fontId="19" fillId="0" borderId="0" applyFont="0" applyFill="0" applyBorder="0" applyAlignment="0" applyProtection="0"/>
    <xf numFmtId="0" fontId="1" fillId="0" borderId="0"/>
    <xf numFmtId="43" fontId="18" fillId="0" borderId="0" applyFont="0" applyFill="0" applyBorder="0" applyAlignment="0" applyProtection="0"/>
    <xf numFmtId="43" fontId="18" fillId="0" borderId="0" applyFont="0" applyFill="0" applyBorder="0" applyAlignment="0" applyProtection="0"/>
    <xf numFmtId="4" fontId="38" fillId="30" borderId="93" applyNumberFormat="0" applyProtection="0">
      <alignment horizontal="left" vertical="center" indent="1"/>
    </xf>
    <xf numFmtId="4" fontId="38" fillId="3" borderId="98" applyNumberFormat="0" applyProtection="0">
      <alignment vertical="center"/>
    </xf>
    <xf numFmtId="0" fontId="11" fillId="0" borderId="0"/>
    <xf numFmtId="4" fontId="64" fillId="30" borderId="98" applyNumberFormat="0" applyProtection="0">
      <alignment horizontal="right" vertical="center"/>
    </xf>
    <xf numFmtId="0" fontId="1" fillId="19" borderId="98" applyNumberFormat="0" applyProtection="0">
      <alignment horizontal="left" vertical="center" indent="1"/>
    </xf>
    <xf numFmtId="0" fontId="1" fillId="19" borderId="98" applyNumberFormat="0" applyProtection="0">
      <alignment horizontal="left" vertical="center" indent="1"/>
    </xf>
    <xf numFmtId="4" fontId="68" fillId="30" borderId="98" applyNumberFormat="0" applyProtection="0">
      <alignment horizontal="right" vertical="center"/>
    </xf>
    <xf numFmtId="0" fontId="97" fillId="34" borderId="50" applyNumberFormat="0" applyAlignment="0" applyProtection="0"/>
    <xf numFmtId="43" fontId="18" fillId="0" borderId="0" applyFont="0" applyFill="0" applyBorder="0" applyAlignment="0" applyProtection="0"/>
    <xf numFmtId="0" fontId="1" fillId="0" borderId="0"/>
    <xf numFmtId="0" fontId="1" fillId="0" borderId="0"/>
    <xf numFmtId="0" fontId="11" fillId="0" borderId="0"/>
    <xf numFmtId="43" fontId="29" fillId="0" borderId="0" applyFont="0" applyFill="0" applyBorder="0" applyAlignment="0" applyProtection="0"/>
    <xf numFmtId="0" fontId="1" fillId="0" borderId="0"/>
    <xf numFmtId="43" fontId="18" fillId="0" borderId="0" applyFont="0" applyFill="0" applyBorder="0" applyAlignment="0" applyProtection="0"/>
    <xf numFmtId="0" fontId="11" fillId="0" borderId="0"/>
    <xf numFmtId="43" fontId="18"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1"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43" fontId="1" fillId="0" borderId="0" applyFont="0" applyFill="0" applyBorder="0" applyAlignment="0" applyProtection="0"/>
    <xf numFmtId="0" fontId="104" fillId="43" borderId="50" applyNumberFormat="0" applyAlignment="0" applyProtection="0"/>
    <xf numFmtId="0" fontId="11" fillId="0" borderId="0"/>
    <xf numFmtId="0" fontId="1" fillId="0" borderId="0"/>
    <xf numFmtId="0" fontId="1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 fillId="0" borderId="0"/>
    <xf numFmtId="0" fontId="11" fillId="0" borderId="0"/>
    <xf numFmtId="0" fontId="1" fillId="0" borderId="0"/>
    <xf numFmtId="0" fontId="11" fillId="0" borderId="0"/>
    <xf numFmtId="0" fontId="104" fillId="43" borderId="50" applyNumberFormat="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97" fillId="34" borderId="102" applyNumberFormat="0" applyAlignment="0" applyProtection="0"/>
    <xf numFmtId="4" fontId="68" fillId="30" borderId="98" applyNumberFormat="0" applyProtection="0">
      <alignment horizontal="right" vertical="center"/>
    </xf>
    <xf numFmtId="0" fontId="1" fillId="19" borderId="98" applyNumberFormat="0" applyProtection="0">
      <alignment horizontal="left" vertical="center" indent="1"/>
    </xf>
    <xf numFmtId="0" fontId="1" fillId="19" borderId="98" applyNumberFormat="0" applyProtection="0">
      <alignment horizontal="left" vertical="center" indent="1"/>
    </xf>
    <xf numFmtId="4" fontId="64" fillId="30" borderId="98" applyNumberFormat="0" applyProtection="0">
      <alignment horizontal="right" vertical="center"/>
    </xf>
    <xf numFmtId="0" fontId="1" fillId="2" borderId="98" applyNumberFormat="0" applyProtection="0">
      <alignment horizontal="left" vertical="center" indent="1"/>
    </xf>
    <xf numFmtId="0" fontId="11" fillId="0" borderId="0"/>
    <xf numFmtId="4" fontId="38" fillId="3" borderId="98" applyNumberFormat="0" applyProtection="0">
      <alignment horizontal="left" vertical="center" indent="1"/>
    </xf>
    <xf numFmtId="4" fontId="38" fillId="3" borderId="98" applyNumberFormat="0" applyProtection="0">
      <alignment horizontal="left" vertical="center" indent="1"/>
    </xf>
    <xf numFmtId="4" fontId="64" fillId="3" borderId="98" applyNumberFormat="0" applyProtection="0">
      <alignment vertical="center"/>
    </xf>
    <xf numFmtId="4" fontId="38" fillId="3" borderId="98" applyNumberFormat="0" applyProtection="0">
      <alignment vertical="center"/>
    </xf>
    <xf numFmtId="0" fontId="1" fillId="33" borderId="98" applyNumberFormat="0" applyProtection="0">
      <alignment horizontal="left" vertical="center" indent="1"/>
    </xf>
    <xf numFmtId="0" fontId="1" fillId="33" borderId="98" applyNumberFormat="0" applyProtection="0">
      <alignment horizontal="left" vertical="center" indent="1"/>
    </xf>
    <xf numFmtId="0" fontId="1" fillId="19" borderId="98" applyNumberFormat="0" applyProtection="0">
      <alignment horizontal="left" vertical="center" indent="1"/>
    </xf>
    <xf numFmtId="4" fontId="38" fillId="30" borderId="93" applyNumberFormat="0" applyProtection="0">
      <alignment horizontal="left" vertical="center" indent="1"/>
    </xf>
    <xf numFmtId="4" fontId="65" fillId="29" borderId="98" applyNumberFormat="0" applyProtection="0">
      <alignment horizontal="left" vertical="center" indent="1"/>
    </xf>
    <xf numFmtId="0" fontId="1" fillId="0" borderId="0"/>
    <xf numFmtId="0" fontId="11" fillId="0" borderId="0"/>
    <xf numFmtId="0" fontId="1" fillId="0" borderId="0"/>
    <xf numFmtId="43" fontId="29" fillId="0" borderId="0" applyFont="0" applyFill="0" applyBorder="0" applyAlignment="0" applyProtection="0"/>
    <xf numFmtId="0" fontId="11" fillId="0" borderId="0"/>
    <xf numFmtId="0" fontId="11" fillId="0" borderId="0"/>
    <xf numFmtId="0" fontId="11" fillId="0" borderId="0"/>
    <xf numFmtId="0" fontId="1" fillId="0" borderId="0"/>
    <xf numFmtId="5" fontId="55" fillId="0" borderId="100">
      <alignment horizontal="left" vertical="top"/>
    </xf>
    <xf numFmtId="0" fontId="97" fillId="34" borderId="50" applyNumberFormat="0" applyAlignment="0" applyProtection="0"/>
    <xf numFmtId="4" fontId="68" fillId="30" borderId="98" applyNumberFormat="0" applyProtection="0">
      <alignment horizontal="right" vertical="center"/>
    </xf>
    <xf numFmtId="0" fontId="11" fillId="0" borderId="0"/>
    <xf numFmtId="4" fontId="38" fillId="3" borderId="98" applyNumberFormat="0" applyProtection="0">
      <alignment vertical="center"/>
    </xf>
    <xf numFmtId="0" fontId="11" fillId="0" borderId="0"/>
    <xf numFmtId="0" fontId="1" fillId="19" borderId="98" applyNumberFormat="0" applyProtection="0">
      <alignment horizontal="left" vertical="center" indent="1"/>
    </xf>
    <xf numFmtId="4" fontId="64" fillId="30" borderId="98" applyNumberFormat="0" applyProtection="0">
      <alignment horizontal="right" vertical="center"/>
    </xf>
    <xf numFmtId="0" fontId="1" fillId="2" borderId="98" applyNumberFormat="0" applyProtection="0">
      <alignment horizontal="left" vertical="center" indent="1"/>
    </xf>
    <xf numFmtId="0" fontId="11" fillId="0" borderId="0"/>
    <xf numFmtId="0" fontId="1" fillId="33" borderId="98" applyNumberFormat="0" applyProtection="0">
      <alignment horizontal="left" vertical="center" indent="1"/>
    </xf>
    <xf numFmtId="0" fontId="1" fillId="33" borderId="98" applyNumberFormat="0" applyProtection="0">
      <alignment horizontal="left" vertical="center" indent="1"/>
    </xf>
    <xf numFmtId="0" fontId="1" fillId="32" borderId="98" applyNumberFormat="0" applyProtection="0">
      <alignment horizontal="left" vertical="center" indent="1"/>
    </xf>
    <xf numFmtId="0" fontId="1" fillId="32" borderId="98" applyNumberFormat="0" applyProtection="0">
      <alignment horizontal="left" vertical="center" indent="1"/>
    </xf>
    <xf numFmtId="0" fontId="1" fillId="19" borderId="98" applyNumberFormat="0" applyProtection="0">
      <alignment horizontal="left" vertical="center" indent="1"/>
    </xf>
    <xf numFmtId="4" fontId="38" fillId="30" borderId="93" applyNumberFormat="0" applyProtection="0">
      <alignment horizontal="left" vertical="center" indent="1"/>
    </xf>
    <xf numFmtId="4" fontId="65" fillId="29" borderId="98" applyNumberFormat="0" applyProtection="0">
      <alignment horizontal="left" vertical="center" indent="1"/>
    </xf>
    <xf numFmtId="4" fontId="38" fillId="27" borderId="98" applyNumberFormat="0" applyProtection="0">
      <alignment horizontal="right" vertical="center"/>
    </xf>
    <xf numFmtId="4" fontId="38" fillId="26" borderId="98" applyNumberFormat="0" applyProtection="0">
      <alignment horizontal="right" vertical="center"/>
    </xf>
    <xf numFmtId="0" fontId="1" fillId="32" borderId="98" applyNumberFormat="0" applyProtection="0">
      <alignment horizontal="left" vertical="center" indent="1"/>
    </xf>
    <xf numFmtId="4" fontId="38" fillId="21" borderId="98" applyNumberFormat="0" applyProtection="0">
      <alignment horizontal="right" vertical="center"/>
    </xf>
    <xf numFmtId="0" fontId="11"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9" fillId="0" borderId="0" applyFont="0" applyFill="0" applyBorder="0" applyAlignment="0" applyProtection="0"/>
    <xf numFmtId="0" fontId="43" fillId="0" borderId="0"/>
    <xf numFmtId="4" fontId="38" fillId="30" borderId="98" applyNumberFormat="0" applyProtection="0">
      <alignment horizontal="right" vertical="center"/>
    </xf>
    <xf numFmtId="4" fontId="38" fillId="28" borderId="98" applyNumberFormat="0" applyProtection="0">
      <alignment horizontal="right" vertical="center"/>
    </xf>
    <xf numFmtId="0" fontId="11" fillId="0" borderId="0"/>
    <xf numFmtId="0" fontId="2" fillId="0" borderId="106">
      <alignment horizontal="left" vertical="center"/>
    </xf>
    <xf numFmtId="9" fontId="19"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43" fontId="1" fillId="0" borderId="0" applyFont="0" applyFill="0" applyBorder="0" applyAlignment="0" applyProtection="0"/>
    <xf numFmtId="0" fontId="11" fillId="0" borderId="0"/>
    <xf numFmtId="43" fontId="43" fillId="0" borderId="0" applyFont="0" applyFill="0" applyBorder="0" applyAlignment="0" applyProtection="0"/>
    <xf numFmtId="4" fontId="38" fillId="18" borderId="98" applyNumberFormat="0" applyProtection="0">
      <alignment vertical="center"/>
    </xf>
    <xf numFmtId="4" fontId="64" fillId="18" borderId="98" applyNumberFormat="0" applyProtection="0">
      <alignment vertical="center"/>
    </xf>
    <xf numFmtId="4" fontId="38" fillId="18" borderId="98" applyNumberFormat="0" applyProtection="0">
      <alignment horizontal="left" vertical="center" indent="1"/>
    </xf>
    <xf numFmtId="5" fontId="55" fillId="0" borderId="70">
      <alignment horizontal="left" vertical="top"/>
    </xf>
    <xf numFmtId="6" fontId="79" fillId="36" borderId="70"/>
    <xf numFmtId="0" fontId="1" fillId="19" borderId="98" applyNumberFormat="0" applyProtection="0">
      <alignment horizontal="left" vertical="center" indent="1"/>
    </xf>
    <xf numFmtId="5" fontId="77" fillId="30" borderId="70">
      <alignment vertical="top"/>
    </xf>
    <xf numFmtId="4" fontId="38" fillId="20" borderId="98" applyNumberFormat="0" applyProtection="0">
      <alignment horizontal="right" vertical="center"/>
    </xf>
    <xf numFmtId="4" fontId="38" fillId="21" borderId="98" applyNumberFormat="0" applyProtection="0">
      <alignment horizontal="right" vertical="center"/>
    </xf>
    <xf numFmtId="4" fontId="38" fillId="22" borderId="98" applyNumberFormat="0" applyProtection="0">
      <alignment horizontal="right" vertical="center"/>
    </xf>
    <xf numFmtId="0" fontId="11" fillId="0" borderId="0"/>
    <xf numFmtId="0" fontId="1" fillId="32" borderId="98" applyNumberFormat="0" applyProtection="0">
      <alignment horizontal="left" vertical="center" indent="1"/>
    </xf>
    <xf numFmtId="0" fontId="11" fillId="0" borderId="0"/>
    <xf numFmtId="4" fontId="68" fillId="30" borderId="68" applyNumberFormat="0" applyProtection="0">
      <alignment horizontal="right" vertical="center"/>
    </xf>
    <xf numFmtId="0" fontId="1" fillId="19" borderId="68" applyNumberFormat="0" applyProtection="0">
      <alignment horizontal="left" vertical="center" indent="1"/>
    </xf>
    <xf numFmtId="0" fontId="1" fillId="19" borderId="68" applyNumberFormat="0" applyProtection="0">
      <alignment horizontal="left" vertical="center" indent="1"/>
    </xf>
    <xf numFmtId="4" fontId="64" fillId="30" borderId="68" applyNumberFormat="0" applyProtection="0">
      <alignment horizontal="right" vertical="center"/>
    </xf>
    <xf numFmtId="9" fontId="1" fillId="0" borderId="0" applyFont="0" applyFill="0" applyBorder="0" applyAlignment="0" applyProtection="0"/>
    <xf numFmtId="4" fontId="38" fillId="30" borderId="68" applyNumberFormat="0" applyProtection="0">
      <alignment horizontal="right" vertical="center"/>
    </xf>
    <xf numFmtId="4" fontId="38" fillId="3" borderId="68" applyNumberFormat="0" applyProtection="0">
      <alignment horizontal="left" vertical="center" indent="1"/>
    </xf>
    <xf numFmtId="4" fontId="38" fillId="3" borderId="68" applyNumberFormat="0" applyProtection="0">
      <alignment horizontal="left" vertical="center" indent="1"/>
    </xf>
    <xf numFmtId="4" fontId="64" fillId="3" borderId="68" applyNumberFormat="0" applyProtection="0">
      <alignment vertical="center"/>
    </xf>
    <xf numFmtId="4" fontId="38" fillId="3" borderId="68" applyNumberFormat="0" applyProtection="0">
      <alignment vertical="center"/>
    </xf>
    <xf numFmtId="0" fontId="1" fillId="19" borderId="68" applyNumberFormat="0" applyProtection="0">
      <alignment horizontal="left" vertical="center" indent="1"/>
    </xf>
    <xf numFmtId="0" fontId="1" fillId="19" borderId="68" applyNumberFormat="0" applyProtection="0">
      <alignment horizontal="left" vertical="center" indent="1"/>
    </xf>
    <xf numFmtId="9" fontId="1" fillId="0" borderId="0" applyFont="0" applyFill="0" applyBorder="0" applyAlignment="0" applyProtection="0"/>
    <xf numFmtId="0" fontId="1" fillId="33" borderId="68" applyNumberFormat="0" applyProtection="0">
      <alignment horizontal="left" vertical="center" indent="1"/>
    </xf>
    <xf numFmtId="0" fontId="1" fillId="32" borderId="68" applyNumberFormat="0" applyProtection="0">
      <alignment horizontal="left" vertical="center" indent="1"/>
    </xf>
    <xf numFmtId="0" fontId="1" fillId="32" borderId="68" applyNumberFormat="0" applyProtection="0">
      <alignment horizontal="left" vertical="center" indent="1"/>
    </xf>
    <xf numFmtId="4" fontId="38" fillId="32" borderId="68" applyNumberFormat="0" applyProtection="0">
      <alignment horizontal="left" vertical="center" indent="1"/>
    </xf>
    <xf numFmtId="4" fontId="38" fillId="30" borderId="68" applyNumberFormat="0" applyProtection="0">
      <alignment horizontal="left" vertical="center" indent="1"/>
    </xf>
    <xf numFmtId="0" fontId="1" fillId="19" borderId="68" applyNumberFormat="0" applyProtection="0">
      <alignment horizontal="left" vertical="center" indent="1"/>
    </xf>
    <xf numFmtId="4" fontId="38" fillId="32" borderId="98" applyNumberFormat="0" applyProtection="0">
      <alignment horizontal="left" vertical="center" indent="1"/>
    </xf>
    <xf numFmtId="0" fontId="1" fillId="19" borderId="52" applyNumberFormat="0" applyProtection="0">
      <alignment horizontal="left" vertical="center" indent="1"/>
    </xf>
    <xf numFmtId="43" fontId="18" fillId="0" borderId="0" applyFont="0" applyFill="0" applyBorder="0" applyAlignment="0" applyProtection="0"/>
    <xf numFmtId="4" fontId="38" fillId="25" borderId="98" applyNumberFormat="0" applyProtection="0">
      <alignment horizontal="right" vertical="center"/>
    </xf>
    <xf numFmtId="0" fontId="1" fillId="0" borderId="0"/>
    <xf numFmtId="187" fontId="50" fillId="0" borderId="71"/>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41" fontId="1" fillId="0" borderId="0" applyFont="0" applyFill="0" applyBorder="0" applyAlignment="0" applyProtection="0"/>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4" fontId="38" fillId="23" borderId="98" applyNumberFormat="0" applyProtection="0">
      <alignment horizontal="right" vertical="center"/>
    </xf>
    <xf numFmtId="0" fontId="1" fillId="32" borderId="52" applyNumberFormat="0" applyProtection="0">
      <alignment horizontal="left" vertical="center" indent="1"/>
    </xf>
    <xf numFmtId="0" fontId="1" fillId="32" borderId="52" applyNumberFormat="0" applyProtection="0">
      <alignment horizontal="left" vertical="center" indent="1"/>
    </xf>
    <xf numFmtId="43" fontId="1" fillId="0" borderId="0" applyFont="0" applyFill="0" applyBorder="0" applyAlignment="0" applyProtection="0"/>
    <xf numFmtId="0" fontId="1" fillId="19" borderId="52" applyNumberFormat="0" applyProtection="0">
      <alignment horizontal="left" vertical="center" indent="1"/>
    </xf>
    <xf numFmtId="43" fontId="1" fillId="0" borderId="0" applyFont="0" applyFill="0" applyBorder="0" applyAlignment="0" applyProtection="0"/>
    <xf numFmtId="0" fontId="1" fillId="0" borderId="0"/>
    <xf numFmtId="0" fontId="1" fillId="0" borderId="0"/>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3" fontId="18" fillId="0" borderId="0" applyFont="0" applyFill="0" applyBorder="0" applyAlignment="0" applyProtection="0"/>
    <xf numFmtId="4" fontId="38" fillId="3" borderId="98" applyNumberFormat="0" applyProtection="0">
      <alignment horizontal="left" vertical="center" indent="1"/>
    </xf>
    <xf numFmtId="4" fontId="5" fillId="59" borderId="55" applyNumberFormat="0" applyProtection="0">
      <alignment horizontal="right" vertical="center"/>
    </xf>
    <xf numFmtId="0" fontId="1" fillId="2" borderId="68" applyNumberFormat="0" applyProtection="0">
      <alignment horizontal="left" vertical="center" indent="1"/>
    </xf>
    <xf numFmtId="41" fontId="1" fillId="0" borderId="0" applyFont="0" applyFill="0" applyBorder="0" applyAlignment="0" applyProtection="0"/>
    <xf numFmtId="0" fontId="104" fillId="43" borderId="102" applyNumberFormat="0" applyAlignment="0" applyProtection="0"/>
    <xf numFmtId="4" fontId="38" fillId="20" borderId="52" applyNumberFormat="0" applyProtection="0">
      <alignment horizontal="right" vertical="center"/>
    </xf>
    <xf numFmtId="4" fontId="68" fillId="30" borderId="52" applyNumberFormat="0" applyProtection="0">
      <alignment horizontal="right" vertical="center"/>
    </xf>
    <xf numFmtId="4" fontId="38" fillId="3" borderId="98" applyNumberFormat="0" applyProtection="0">
      <alignment horizontal="left" vertical="center" indent="1"/>
    </xf>
    <xf numFmtId="0" fontId="1" fillId="2" borderId="68" applyNumberFormat="0" applyProtection="0">
      <alignment horizontal="left" vertical="center" indent="1"/>
    </xf>
    <xf numFmtId="43" fontId="11" fillId="0" borderId="0" applyFont="0" applyFill="0" applyBorder="0" applyAlignment="0" applyProtection="0"/>
    <xf numFmtId="43" fontId="11" fillId="0" borderId="0" applyFont="0" applyFill="0" applyBorder="0" applyAlignment="0" applyProtection="0"/>
    <xf numFmtId="0" fontId="1" fillId="33" borderId="52" applyNumberFormat="0" applyProtection="0">
      <alignment horizontal="left" vertical="center" indent="1"/>
    </xf>
    <xf numFmtId="0" fontId="1" fillId="19" borderId="52" applyNumberFormat="0" applyProtection="0">
      <alignment horizontal="left" vertical="center" indent="1"/>
    </xf>
    <xf numFmtId="5" fontId="77" fillId="30" borderId="100">
      <alignment vertical="top"/>
    </xf>
    <xf numFmtId="200" fontId="1" fillId="0" borderId="0" applyFont="0" applyFill="0" applyBorder="0" applyAlignment="0" applyProtection="0"/>
    <xf numFmtId="43" fontId="94" fillId="0" borderId="0" applyFont="0" applyFill="0" applyBorder="0" applyAlignment="0" applyProtection="0"/>
    <xf numFmtId="0" fontId="11" fillId="0" borderId="0"/>
    <xf numFmtId="43" fontId="1" fillId="0" borderId="0" applyFont="0" applyFill="0" applyBorder="0" applyAlignment="0" applyProtection="0"/>
    <xf numFmtId="0" fontId="11" fillId="0" borderId="0"/>
    <xf numFmtId="0" fontId="1" fillId="0" borderId="0"/>
    <xf numFmtId="0" fontId="1" fillId="33" borderId="68" applyNumberFormat="0" applyProtection="0">
      <alignment horizontal="left" vertical="center" indent="1"/>
    </xf>
    <xf numFmtId="43" fontId="29"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0" fontId="11" fillId="0" borderId="0"/>
    <xf numFmtId="4" fontId="38" fillId="30" borderId="63" applyNumberFormat="0" applyProtection="0">
      <alignment horizontal="left" vertical="center" indent="1"/>
    </xf>
    <xf numFmtId="4" fontId="38" fillId="22" borderId="98" applyNumberFormat="0" applyProtection="0">
      <alignment horizontal="right" vertical="center"/>
    </xf>
    <xf numFmtId="9" fontId="43" fillId="0" borderId="0" applyFont="0" applyFill="0" applyBorder="0" applyAlignment="0" applyProtection="0"/>
    <xf numFmtId="43" fontId="43" fillId="0" borderId="0" applyFont="0" applyFill="0" applyBorder="0" applyAlignment="0" applyProtection="0"/>
    <xf numFmtId="6" fontId="79" fillId="36" borderId="100"/>
    <xf numFmtId="4" fontId="38" fillId="18" borderId="68" applyNumberFormat="0" applyProtection="0">
      <alignment vertical="center"/>
    </xf>
    <xf numFmtId="4" fontId="38" fillId="30" borderId="98" applyNumberFormat="0" applyProtection="0">
      <alignment horizontal="left" vertical="center" indent="1"/>
    </xf>
    <xf numFmtId="4" fontId="38" fillId="30" borderId="52" applyNumberFormat="0" applyProtection="0">
      <alignment horizontal="right" vertical="center"/>
    </xf>
    <xf numFmtId="0" fontId="1" fillId="32" borderId="68" applyNumberFormat="0" applyProtection="0">
      <alignment horizontal="left" vertical="center" indent="1"/>
    </xf>
    <xf numFmtId="9" fontId="19" fillId="0" borderId="0" applyFont="0" applyFill="0" applyBorder="0" applyAlignment="0" applyProtection="0"/>
    <xf numFmtId="4" fontId="38" fillId="26" borderId="68" applyNumberFormat="0" applyProtection="0">
      <alignment horizontal="right" vertical="center"/>
    </xf>
    <xf numFmtId="43" fontId="1" fillId="0" borderId="0" applyFont="0" applyFill="0" applyBorder="0" applyAlignment="0" applyProtection="0"/>
    <xf numFmtId="0" fontId="2" fillId="0" borderId="74">
      <alignment horizontal="left" vertical="center"/>
    </xf>
    <xf numFmtId="0" fontId="1" fillId="19" borderId="68" applyNumberFormat="0" applyProtection="0">
      <alignment horizontal="left" vertical="center" indent="1"/>
    </xf>
    <xf numFmtId="0" fontId="1" fillId="58" borderId="67" applyNumberFormat="0" applyFont="0" applyAlignment="0" applyProtection="0"/>
    <xf numFmtId="5" fontId="55" fillId="0" borderId="62">
      <alignment horizontal="left" vertical="top"/>
    </xf>
    <xf numFmtId="0" fontId="1" fillId="19" borderId="68" applyNumberFormat="0" applyProtection="0">
      <alignment horizontal="left" vertical="center" indent="1"/>
    </xf>
    <xf numFmtId="4" fontId="38" fillId="32" borderId="68" applyNumberFormat="0" applyProtection="0">
      <alignment horizontal="left" vertical="center" indent="1"/>
    </xf>
    <xf numFmtId="0" fontId="1" fillId="32" borderId="68" applyNumberFormat="0" applyProtection="0">
      <alignment horizontal="left" vertical="center" indent="1"/>
    </xf>
    <xf numFmtId="0" fontId="1" fillId="2" borderId="68" applyNumberFormat="0" applyProtection="0">
      <alignment horizontal="left" vertical="center" indent="1"/>
    </xf>
    <xf numFmtId="4" fontId="38" fillId="3" borderId="68" applyNumberFormat="0" applyProtection="0">
      <alignment horizontal="left" vertical="center" indent="1"/>
    </xf>
    <xf numFmtId="0" fontId="107" fillId="34" borderId="68" applyNumberFormat="0" applyAlignment="0" applyProtection="0"/>
    <xf numFmtId="0" fontId="109" fillId="0" borderId="69" applyNumberFormat="0" applyFill="0" applyAlignment="0" applyProtection="0"/>
    <xf numFmtId="4" fontId="38" fillId="3" borderId="52" applyNumberFormat="0" applyProtection="0">
      <alignment vertical="center"/>
    </xf>
    <xf numFmtId="4" fontId="38" fillId="26" borderId="98" applyNumberFormat="0" applyProtection="0">
      <alignment horizontal="right" vertical="center"/>
    </xf>
    <xf numFmtId="0" fontId="11" fillId="0" borderId="0"/>
    <xf numFmtId="4" fontId="5" fillId="59" borderId="64" applyNumberFormat="0" applyProtection="0">
      <alignment horizontal="right" vertical="center"/>
    </xf>
    <xf numFmtId="0" fontId="5" fillId="34" borderId="64" applyNumberFormat="0" applyProtection="0">
      <alignment horizontal="left" vertical="center" indent="1"/>
    </xf>
    <xf numFmtId="0" fontId="5" fillId="44" borderId="65" applyNumberFormat="0" applyProtection="0">
      <alignment horizontal="left" vertical="top" indent="1"/>
    </xf>
    <xf numFmtId="0" fontId="5" fillId="59" borderId="65" applyNumberFormat="0" applyProtection="0">
      <alignment horizontal="left" vertical="top" indent="1"/>
    </xf>
    <xf numFmtId="0" fontId="5" fillId="60" borderId="65" applyNumberFormat="0" applyProtection="0">
      <alignment horizontal="left" vertical="top" indent="1"/>
    </xf>
    <xf numFmtId="4" fontId="5" fillId="50" borderId="64" applyNumberFormat="0" applyProtection="0">
      <alignment horizontal="left" vertical="center" indent="1"/>
    </xf>
    <xf numFmtId="4" fontId="111" fillId="15" borderId="64" applyNumberFormat="0" applyProtection="0">
      <alignment horizontal="right" vertical="center"/>
    </xf>
    <xf numFmtId="4" fontId="5" fillId="0" borderId="64" applyNumberFormat="0" applyProtection="0">
      <alignment horizontal="right" vertical="center"/>
    </xf>
    <xf numFmtId="4" fontId="38" fillId="25" borderId="68" applyNumberFormat="0" applyProtection="0">
      <alignment horizontal="right" vertical="center"/>
    </xf>
    <xf numFmtId="6" fontId="79" fillId="36" borderId="62"/>
    <xf numFmtId="187" fontId="50" fillId="0" borderId="86"/>
    <xf numFmtId="5" fontId="77" fillId="30" borderId="62">
      <alignment vertical="top"/>
    </xf>
    <xf numFmtId="0" fontId="11" fillId="0" borderId="0"/>
    <xf numFmtId="0" fontId="2" fillId="0" borderId="57">
      <alignment horizontal="left" vertical="center"/>
    </xf>
    <xf numFmtId="0" fontId="1" fillId="33" borderId="68" applyNumberFormat="0" applyProtection="0">
      <alignment horizontal="left" vertical="center" indent="1"/>
    </xf>
    <xf numFmtId="0" fontId="1" fillId="2" borderId="68" applyNumberFormat="0" applyProtection="0">
      <alignment horizontal="left" vertical="center" indent="1"/>
    </xf>
    <xf numFmtId="0" fontId="1" fillId="19" borderId="68" applyNumberFormat="0" applyProtection="0">
      <alignment horizontal="left" vertical="center" indent="1"/>
    </xf>
    <xf numFmtId="0" fontId="1" fillId="19" borderId="68" applyNumberFormat="0" applyProtection="0">
      <alignment horizontal="left" vertical="center" indent="1"/>
    </xf>
    <xf numFmtId="4" fontId="38" fillId="3" borderId="68" applyNumberFormat="0" applyProtection="0">
      <alignment vertical="center"/>
    </xf>
    <xf numFmtId="4" fontId="64" fillId="3" borderId="68" applyNumberFormat="0" applyProtection="0">
      <alignment vertical="center"/>
    </xf>
    <xf numFmtId="4" fontId="38" fillId="3" borderId="68" applyNumberFormat="0" applyProtection="0">
      <alignment horizontal="left" vertical="center" indent="1"/>
    </xf>
    <xf numFmtId="4" fontId="38" fillId="30" borderId="68" applyNumberFormat="0" applyProtection="0">
      <alignment horizontal="right" vertical="center"/>
    </xf>
    <xf numFmtId="4" fontId="64" fillId="30" borderId="68" applyNumberFormat="0" applyProtection="0">
      <alignment horizontal="right" vertical="center"/>
    </xf>
    <xf numFmtId="0" fontId="1" fillId="19" borderId="68" applyNumberFormat="0" applyProtection="0">
      <alignment horizontal="left" vertical="center" indent="1"/>
    </xf>
    <xf numFmtId="4" fontId="68" fillId="30" borderId="68" applyNumberFormat="0" applyProtection="0">
      <alignment horizontal="right" vertical="center"/>
    </xf>
    <xf numFmtId="4" fontId="64" fillId="3" borderId="98" applyNumberFormat="0" applyProtection="0">
      <alignment vertical="center"/>
    </xf>
    <xf numFmtId="0" fontId="1" fillId="33" borderId="68" applyNumberFormat="0" applyProtection="0">
      <alignment horizontal="left" vertical="center" indent="1"/>
    </xf>
    <xf numFmtId="4" fontId="38" fillId="18" borderId="68" applyNumberFormat="0" applyProtection="0">
      <alignment horizontal="left" vertical="center" indent="1"/>
    </xf>
    <xf numFmtId="0" fontId="1" fillId="19" borderId="68" applyNumberFormat="0" applyProtection="0">
      <alignment horizontal="left" vertical="center" indent="1"/>
    </xf>
    <xf numFmtId="4" fontId="38" fillId="20" borderId="68" applyNumberFormat="0" applyProtection="0">
      <alignment horizontal="right" vertical="center"/>
    </xf>
    <xf numFmtId="4" fontId="38" fillId="21" borderId="68" applyNumberFormat="0" applyProtection="0">
      <alignment horizontal="right" vertical="center"/>
    </xf>
    <xf numFmtId="4" fontId="38" fillId="22" borderId="68" applyNumberFormat="0" applyProtection="0">
      <alignment horizontal="right" vertical="center"/>
    </xf>
    <xf numFmtId="0" fontId="2" fillId="0" borderId="66">
      <alignment horizontal="left" vertical="center"/>
    </xf>
    <xf numFmtId="4" fontId="38" fillId="23" borderId="68" applyNumberFormat="0" applyProtection="0">
      <alignment horizontal="right" vertical="center"/>
    </xf>
    <xf numFmtId="4" fontId="38" fillId="30" borderId="68" applyNumberFormat="0" applyProtection="0">
      <alignment horizontal="left" vertical="center" indent="1"/>
    </xf>
    <xf numFmtId="4" fontId="38" fillId="18" borderId="68" applyNumberFormat="0" applyProtection="0">
      <alignment vertical="center"/>
    </xf>
    <xf numFmtId="4" fontId="64" fillId="18" borderId="68" applyNumberFormat="0" applyProtection="0">
      <alignment vertical="center"/>
    </xf>
    <xf numFmtId="4" fontId="38" fillId="18" borderId="68" applyNumberFormat="0" applyProtection="0">
      <alignment horizontal="left" vertical="center" indent="1"/>
    </xf>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43" fontId="1" fillId="0" borderId="0" applyFont="0" applyFill="0" applyBorder="0" applyAlignment="0" applyProtection="0"/>
    <xf numFmtId="0" fontId="2" fillId="0" borderId="57">
      <alignment horizontal="left" vertical="center"/>
    </xf>
    <xf numFmtId="4" fontId="5" fillId="0" borderId="64" applyNumberFormat="0" applyProtection="0">
      <alignment horizontal="right" vertical="center"/>
    </xf>
    <xf numFmtId="4" fontId="111" fillId="15" borderId="64" applyNumberFormat="0" applyProtection="0">
      <alignment horizontal="right" vertical="center"/>
    </xf>
    <xf numFmtId="0" fontId="5" fillId="61" borderId="64" applyNumberFormat="0" applyProtection="0">
      <alignment horizontal="left" vertical="center" indent="1"/>
    </xf>
    <xf numFmtId="0" fontId="5" fillId="44" borderId="64" applyNumberFormat="0" applyProtection="0">
      <alignment horizontal="left" vertical="center" indent="1"/>
    </xf>
    <xf numFmtId="0" fontId="5" fillId="62" borderId="64" applyNumberFormat="0" applyProtection="0">
      <alignment horizontal="left" vertical="center" indent="1"/>
    </xf>
    <xf numFmtId="4" fontId="112" fillId="63" borderId="64" applyNumberFormat="0" applyProtection="0">
      <alignment horizontal="right" vertical="center"/>
    </xf>
    <xf numFmtId="4" fontId="5" fillId="50" borderId="64" applyNumberFormat="0" applyProtection="0">
      <alignment horizontal="left" vertical="center" indent="1"/>
    </xf>
    <xf numFmtId="4" fontId="5" fillId="0" borderId="64" applyNumberFormat="0" applyProtection="0">
      <alignment horizontal="right" vertical="center"/>
    </xf>
    <xf numFmtId="0" fontId="5" fillId="34" borderId="64" applyNumberFormat="0" applyProtection="0">
      <alignment horizontal="left" vertical="center" indent="1"/>
    </xf>
    <xf numFmtId="0" fontId="5" fillId="59" borderId="65" applyNumberFormat="0" applyProtection="0">
      <alignment horizontal="left" vertical="top" indent="1"/>
    </xf>
    <xf numFmtId="4" fontId="38" fillId="30" borderId="63" applyNumberFormat="0" applyProtection="0">
      <alignment horizontal="left" vertical="center" indent="1"/>
    </xf>
    <xf numFmtId="4" fontId="112" fillId="63" borderId="64" applyNumberFormat="0" applyProtection="0">
      <alignment horizontal="right" vertical="center"/>
    </xf>
    <xf numFmtId="0" fontId="5" fillId="62" borderId="64" applyNumberFormat="0" applyProtection="0">
      <alignment horizontal="left" vertical="center" indent="1"/>
    </xf>
    <xf numFmtId="0" fontId="5" fillId="44" borderId="64" applyNumberFormat="0" applyProtection="0">
      <alignment horizontal="left" vertical="center" indent="1"/>
    </xf>
    <xf numFmtId="0" fontId="5" fillId="61" borderId="64" applyNumberFormat="0" applyProtection="0">
      <alignment horizontal="left" vertical="center" indent="1"/>
    </xf>
    <xf numFmtId="4" fontId="5" fillId="59" borderId="64" applyNumberFormat="0" applyProtection="0">
      <alignment horizontal="right" vertical="center"/>
    </xf>
    <xf numFmtId="0" fontId="5" fillId="44" borderId="65" applyNumberFormat="0" applyProtection="0">
      <alignment horizontal="left" vertical="top" indent="1"/>
    </xf>
    <xf numFmtId="0" fontId="5" fillId="60" borderId="65" applyNumberFormat="0" applyProtection="0">
      <alignment horizontal="left" vertical="top" indent="1"/>
    </xf>
    <xf numFmtId="4" fontId="38" fillId="28" borderId="68" applyNumberFormat="0" applyProtection="0">
      <alignment horizontal="right" vertical="center"/>
    </xf>
    <xf numFmtId="0" fontId="1" fillId="0" borderId="0"/>
    <xf numFmtId="4" fontId="38" fillId="27" borderId="68" applyNumberFormat="0" applyProtection="0">
      <alignment horizontal="right" vertical="center"/>
    </xf>
    <xf numFmtId="4" fontId="38" fillId="24" borderId="68" applyNumberFormat="0" applyProtection="0">
      <alignment horizontal="right" vertical="center"/>
    </xf>
    <xf numFmtId="4" fontId="65" fillId="29" borderId="68" applyNumberFormat="0" applyProtection="0">
      <alignment horizontal="left" vertical="center" indent="1"/>
    </xf>
    <xf numFmtId="4" fontId="5" fillId="0" borderId="64" applyNumberFormat="0" applyProtection="0">
      <alignment horizontal="right" vertical="center"/>
    </xf>
    <xf numFmtId="4" fontId="111" fillId="15" borderId="64" applyNumberFormat="0" applyProtection="0">
      <alignment horizontal="right" vertical="center"/>
    </xf>
    <xf numFmtId="4" fontId="5" fillId="50" borderId="64" applyNumberFormat="0" applyProtection="0">
      <alignment horizontal="left" vertical="center" indent="1"/>
    </xf>
    <xf numFmtId="0" fontId="5" fillId="60" borderId="65" applyNumberFormat="0" applyProtection="0">
      <alignment horizontal="left" vertical="top" indent="1"/>
    </xf>
    <xf numFmtId="0" fontId="5" fillId="59" borderId="65" applyNumberFormat="0" applyProtection="0">
      <alignment horizontal="left" vertical="top" indent="1"/>
    </xf>
    <xf numFmtId="0" fontId="5" fillId="44" borderId="65" applyNumberFormat="0" applyProtection="0">
      <alignment horizontal="left" vertical="top" indent="1"/>
    </xf>
    <xf numFmtId="0" fontId="5" fillId="34" borderId="64" applyNumberFormat="0" applyProtection="0">
      <alignment horizontal="left" vertical="center" indent="1"/>
    </xf>
    <xf numFmtId="4" fontId="5" fillId="59" borderId="64" applyNumberFormat="0" applyProtection="0">
      <alignment horizontal="right" vertical="center"/>
    </xf>
    <xf numFmtId="4" fontId="5" fillId="0" borderId="64" applyNumberFormat="0" applyProtection="0">
      <alignment horizontal="right" vertical="center"/>
    </xf>
    <xf numFmtId="4" fontId="111" fillId="15" borderId="64" applyNumberFormat="0" applyProtection="0">
      <alignment horizontal="right" vertical="center"/>
    </xf>
    <xf numFmtId="0" fontId="5" fillId="61" borderId="64" applyNumberFormat="0" applyProtection="0">
      <alignment horizontal="left" vertical="center" indent="1"/>
    </xf>
    <xf numFmtId="0" fontId="5" fillId="44" borderId="64" applyNumberFormat="0" applyProtection="0">
      <alignment horizontal="left" vertical="center" indent="1"/>
    </xf>
    <xf numFmtId="0" fontId="5" fillId="62" borderId="64" applyNumberFormat="0" applyProtection="0">
      <alignment horizontal="left" vertical="center" indent="1"/>
    </xf>
    <xf numFmtId="4" fontId="112" fillId="63" borderId="64" applyNumberFormat="0" applyProtection="0">
      <alignment horizontal="right" vertical="center"/>
    </xf>
    <xf numFmtId="4" fontId="5" fillId="50" borderId="64" applyNumberFormat="0" applyProtection="0">
      <alignment horizontal="left" vertical="center" indent="1"/>
    </xf>
    <xf numFmtId="4" fontId="5" fillId="0" borderId="64" applyNumberFormat="0" applyProtection="0">
      <alignment horizontal="right" vertical="center"/>
    </xf>
    <xf numFmtId="0" fontId="5" fillId="34" borderId="64" applyNumberFormat="0" applyProtection="0">
      <alignment horizontal="left" vertical="center" indent="1"/>
    </xf>
    <xf numFmtId="0" fontId="5" fillId="59" borderId="65" applyNumberFormat="0" applyProtection="0">
      <alignment horizontal="left" vertical="top" indent="1"/>
    </xf>
    <xf numFmtId="4" fontId="112" fillId="63" borderId="64" applyNumberFormat="0" applyProtection="0">
      <alignment horizontal="right" vertical="center"/>
    </xf>
    <xf numFmtId="0" fontId="5" fillId="62" borderId="64" applyNumberFormat="0" applyProtection="0">
      <alignment horizontal="left" vertical="center" indent="1"/>
    </xf>
    <xf numFmtId="0" fontId="5" fillId="44" borderId="64" applyNumberFormat="0" applyProtection="0">
      <alignment horizontal="left" vertical="center" indent="1"/>
    </xf>
    <xf numFmtId="0" fontId="5" fillId="61" borderId="64" applyNumberFormat="0" applyProtection="0">
      <alignment horizontal="left" vertical="center" indent="1"/>
    </xf>
    <xf numFmtId="4" fontId="5" fillId="59" borderId="64" applyNumberFormat="0" applyProtection="0">
      <alignment horizontal="right" vertical="center"/>
    </xf>
    <xf numFmtId="0" fontId="94" fillId="58" borderId="67" applyNumberFormat="0" applyFont="0" applyAlignment="0" applyProtection="0"/>
    <xf numFmtId="0" fontId="5" fillId="44" borderId="65" applyNumberFormat="0" applyProtection="0">
      <alignment horizontal="left" vertical="top" indent="1"/>
    </xf>
    <xf numFmtId="0" fontId="5" fillId="60" borderId="65" applyNumberFormat="0" applyProtection="0">
      <alignment horizontal="left" vertical="top" indent="1"/>
    </xf>
    <xf numFmtId="0" fontId="94" fillId="58" borderId="67" applyNumberFormat="0" applyFont="0" applyAlignment="0" applyProtection="0"/>
    <xf numFmtId="43" fontId="11" fillId="0" borderId="0" applyFont="0" applyFill="0" applyBorder="0" applyAlignment="0" applyProtection="0"/>
    <xf numFmtId="200" fontId="1" fillId="0" borderId="0" applyFont="0" applyFill="0" applyBorder="0" applyAlignment="0" applyProtection="0"/>
    <xf numFmtId="43" fontId="94" fillId="0" borderId="0" applyFont="0" applyFill="0" applyBorder="0" applyAlignment="0" applyProtection="0"/>
    <xf numFmtId="43" fontId="1" fillId="0" borderId="0" applyFont="0" applyFill="0" applyBorder="0" applyAlignment="0" applyProtection="0"/>
    <xf numFmtId="0" fontId="11" fillId="0" borderId="0"/>
    <xf numFmtId="4" fontId="38" fillId="18" borderId="98" applyNumberFormat="0" applyProtection="0">
      <alignment horizontal="left" vertical="center" indent="1"/>
    </xf>
    <xf numFmtId="4" fontId="38" fillId="18" borderId="52" applyNumberFormat="0" applyProtection="0">
      <alignment horizontal="left" vertical="center" indent="1"/>
    </xf>
    <xf numFmtId="4" fontId="38" fillId="3" borderId="77" applyNumberFormat="0" applyProtection="0">
      <alignment horizontal="left" vertical="center" indent="1"/>
    </xf>
    <xf numFmtId="0" fontId="1" fillId="33" borderId="84" applyNumberFormat="0" applyProtection="0">
      <alignment horizontal="left" vertical="center" indent="1"/>
    </xf>
    <xf numFmtId="4" fontId="68" fillId="30" borderId="77" applyNumberFormat="0" applyProtection="0">
      <alignment horizontal="right" vertical="center"/>
    </xf>
    <xf numFmtId="0" fontId="1" fillId="19" borderId="77" applyNumberFormat="0" applyProtection="0">
      <alignment horizontal="left" vertical="center" indent="1"/>
    </xf>
    <xf numFmtId="0" fontId="1" fillId="19" borderId="77" applyNumberFormat="0" applyProtection="0">
      <alignment horizontal="left" vertical="center" indent="1"/>
    </xf>
    <xf numFmtId="4" fontId="64" fillId="30" borderId="77" applyNumberFormat="0" applyProtection="0">
      <alignment horizontal="right" vertical="center"/>
    </xf>
    <xf numFmtId="4" fontId="38" fillId="30" borderId="77" applyNumberFormat="0" applyProtection="0">
      <alignment horizontal="right" vertical="center"/>
    </xf>
    <xf numFmtId="4" fontId="38" fillId="3" borderId="77" applyNumberFormat="0" applyProtection="0">
      <alignment horizontal="left" vertical="center" indent="1"/>
    </xf>
    <xf numFmtId="4" fontId="64" fillId="3" borderId="77" applyNumberFormat="0" applyProtection="0">
      <alignment vertical="center"/>
    </xf>
    <xf numFmtId="4" fontId="38" fillId="3" borderId="77" applyNumberFormat="0" applyProtection="0">
      <alignment vertical="center"/>
    </xf>
    <xf numFmtId="0" fontId="1" fillId="19" borderId="77" applyNumberFormat="0" applyProtection="0">
      <alignment horizontal="left" vertical="center" indent="1"/>
    </xf>
    <xf numFmtId="0" fontId="1" fillId="19" borderId="77" applyNumberFormat="0" applyProtection="0">
      <alignment horizontal="left" vertical="center" indent="1"/>
    </xf>
    <xf numFmtId="0" fontId="1" fillId="2" borderId="77" applyNumberFormat="0" applyProtection="0">
      <alignment horizontal="left" vertical="center" indent="1"/>
    </xf>
    <xf numFmtId="0" fontId="1" fillId="2" borderId="77" applyNumberFormat="0" applyProtection="0">
      <alignment horizontal="left" vertical="center" indent="1"/>
    </xf>
    <xf numFmtId="0" fontId="1" fillId="33" borderId="77" applyNumberFormat="0" applyProtection="0">
      <alignment horizontal="left" vertical="center" indent="1"/>
    </xf>
    <xf numFmtId="0" fontId="1" fillId="33" borderId="77" applyNumberFormat="0" applyProtection="0">
      <alignment horizontal="left" vertical="center" indent="1"/>
    </xf>
    <xf numFmtId="0" fontId="1" fillId="32" borderId="77" applyNumberFormat="0" applyProtection="0">
      <alignment horizontal="left" vertical="center" indent="1"/>
    </xf>
    <xf numFmtId="0" fontId="1" fillId="32" borderId="77" applyNumberFormat="0" applyProtection="0">
      <alignment horizontal="left" vertical="center" indent="1"/>
    </xf>
    <xf numFmtId="4" fontId="38" fillId="32" borderId="77" applyNumberFormat="0" applyProtection="0">
      <alignment horizontal="left" vertical="center" indent="1"/>
    </xf>
    <xf numFmtId="4" fontId="38" fillId="30" borderId="77" applyNumberFormat="0" applyProtection="0">
      <alignment horizontal="left" vertical="center" indent="1"/>
    </xf>
    <xf numFmtId="0" fontId="1" fillId="19" borderId="77" applyNumberFormat="0" applyProtection="0">
      <alignment horizontal="left" vertical="center" indent="1"/>
    </xf>
    <xf numFmtId="4" fontId="38" fillId="30" borderId="79" applyNumberFormat="0" applyProtection="0">
      <alignment horizontal="left" vertical="center" indent="1"/>
    </xf>
    <xf numFmtId="4" fontId="65" fillId="29" borderId="77" applyNumberFormat="0" applyProtection="0">
      <alignment horizontal="left" vertical="center" indent="1"/>
    </xf>
    <xf numFmtId="4" fontId="38" fillId="23" borderId="77" applyNumberFormat="0" applyProtection="0">
      <alignment horizontal="right" vertical="center"/>
    </xf>
    <xf numFmtId="0" fontId="1" fillId="19" borderId="77" applyNumberFormat="0" applyProtection="0">
      <alignment horizontal="left" vertical="center" indent="1"/>
    </xf>
    <xf numFmtId="4" fontId="38" fillId="18" borderId="77" applyNumberFormat="0" applyProtection="0">
      <alignment horizontal="left" vertical="center" indent="1"/>
    </xf>
    <xf numFmtId="4" fontId="38" fillId="18" borderId="77" applyNumberFormat="0" applyProtection="0">
      <alignment horizontal="left" vertical="center" indent="1"/>
    </xf>
    <xf numFmtId="4" fontId="64" fillId="18" borderId="77" applyNumberFormat="0" applyProtection="0">
      <alignment vertical="center"/>
    </xf>
    <xf numFmtId="4" fontId="38" fillId="18" borderId="77" applyNumberFormat="0" applyProtection="0">
      <alignment vertical="center"/>
    </xf>
    <xf numFmtId="0" fontId="109" fillId="0" borderId="78" applyNumberFormat="0" applyFill="0" applyAlignment="0" applyProtection="0"/>
    <xf numFmtId="0" fontId="107" fillId="34" borderId="77" applyNumberFormat="0" applyAlignment="0" applyProtection="0"/>
    <xf numFmtId="4" fontId="38" fillId="28" borderId="77" applyNumberFormat="0" applyProtection="0">
      <alignment horizontal="right" vertical="center"/>
    </xf>
    <xf numFmtId="0" fontId="97" fillId="34" borderId="75" applyNumberFormat="0" applyAlignment="0" applyProtection="0"/>
    <xf numFmtId="0" fontId="1" fillId="32" borderId="84" applyNumberFormat="0" applyProtection="0">
      <alignment horizontal="left" vertical="center" indent="1"/>
    </xf>
    <xf numFmtId="4" fontId="38" fillId="24" borderId="77" applyNumberFormat="0" applyProtection="0">
      <alignment horizontal="right" vertical="center"/>
    </xf>
    <xf numFmtId="0" fontId="104" fillId="43" borderId="75" applyNumberFormat="0" applyAlignment="0" applyProtection="0"/>
    <xf numFmtId="4" fontId="38" fillId="26" borderId="84" applyNumberFormat="0" applyProtection="0">
      <alignment horizontal="right" vertical="center"/>
    </xf>
    <xf numFmtId="4" fontId="38" fillId="26" borderId="77" applyNumberFormat="0" applyProtection="0">
      <alignment horizontal="right" vertical="center"/>
    </xf>
    <xf numFmtId="0" fontId="1" fillId="58" borderId="76" applyNumberFormat="0" applyFont="0" applyAlignment="0" applyProtection="0"/>
    <xf numFmtId="4" fontId="38" fillId="27" borderId="77" applyNumberFormat="0" applyProtection="0">
      <alignment horizontal="right" vertical="center"/>
    </xf>
    <xf numFmtId="4" fontId="38" fillId="25" borderId="77" applyNumberFormat="0" applyProtection="0">
      <alignment horizontal="right" vertical="center"/>
    </xf>
    <xf numFmtId="4" fontId="38" fillId="22" borderId="77" applyNumberFormat="0" applyProtection="0">
      <alignment horizontal="right" vertical="center"/>
    </xf>
    <xf numFmtId="0" fontId="1" fillId="19" borderId="84" applyNumberFormat="0" applyProtection="0">
      <alignment horizontal="left" vertical="center" indent="1"/>
    </xf>
    <xf numFmtId="0" fontId="1" fillId="58" borderId="83" applyNumberFormat="0" applyFont="0" applyAlignment="0" applyProtection="0"/>
    <xf numFmtId="5" fontId="55" fillId="0" borderId="62">
      <alignment horizontal="left" vertical="top"/>
    </xf>
    <xf numFmtId="0" fontId="1" fillId="19" borderId="84" applyNumberFormat="0" applyProtection="0">
      <alignment horizontal="left" vertical="center" indent="1"/>
    </xf>
    <xf numFmtId="4" fontId="38" fillId="32" borderId="84" applyNumberFormat="0" applyProtection="0">
      <alignment horizontal="left" vertical="center" indent="1"/>
    </xf>
    <xf numFmtId="0" fontId="1" fillId="32" borderId="84" applyNumberFormat="0" applyProtection="0">
      <alignment horizontal="left" vertical="center" indent="1"/>
    </xf>
    <xf numFmtId="0" fontId="1" fillId="2" borderId="84" applyNumberFormat="0" applyProtection="0">
      <alignment horizontal="left" vertical="center" indent="1"/>
    </xf>
    <xf numFmtId="4" fontId="38" fillId="3" borderId="84" applyNumberFormat="0" applyProtection="0">
      <alignment horizontal="left" vertical="center" indent="1"/>
    </xf>
    <xf numFmtId="0" fontId="107" fillId="34" borderId="84" applyNumberFormat="0" applyAlignment="0" applyProtection="0"/>
    <xf numFmtId="0" fontId="109" fillId="0" borderId="85" applyNumberFormat="0" applyFill="0" applyAlignment="0" applyProtection="0"/>
    <xf numFmtId="0" fontId="1" fillId="0" borderId="0"/>
    <xf numFmtId="0" fontId="43" fillId="0" borderId="0"/>
    <xf numFmtId="0" fontId="1" fillId="19" borderId="98" applyNumberFormat="0" applyProtection="0">
      <alignment horizontal="left" vertical="center" indent="1"/>
    </xf>
    <xf numFmtId="0" fontId="11" fillId="0" borderId="0"/>
    <xf numFmtId="4" fontId="5" fillId="59" borderId="80" applyNumberFormat="0" applyProtection="0">
      <alignment horizontal="right" vertical="center"/>
    </xf>
    <xf numFmtId="0" fontId="5" fillId="34" borderId="80" applyNumberFormat="0" applyProtection="0">
      <alignment horizontal="left" vertical="center" indent="1"/>
    </xf>
    <xf numFmtId="0" fontId="5" fillId="44" borderId="81" applyNumberFormat="0" applyProtection="0">
      <alignment horizontal="left" vertical="top" indent="1"/>
    </xf>
    <xf numFmtId="0" fontId="5" fillId="59" borderId="81" applyNumberFormat="0" applyProtection="0">
      <alignment horizontal="left" vertical="top" indent="1"/>
    </xf>
    <xf numFmtId="0" fontId="5" fillId="60" borderId="81" applyNumberFormat="0" applyProtection="0">
      <alignment horizontal="left" vertical="top" indent="1"/>
    </xf>
    <xf numFmtId="4" fontId="5" fillId="50" borderId="80" applyNumberFormat="0" applyProtection="0">
      <alignment horizontal="left" vertical="center" indent="1"/>
    </xf>
    <xf numFmtId="4" fontId="111" fillId="15" borderId="80" applyNumberFormat="0" applyProtection="0">
      <alignment horizontal="right" vertical="center"/>
    </xf>
    <xf numFmtId="4" fontId="5" fillId="0" borderId="80" applyNumberFormat="0" applyProtection="0">
      <alignment horizontal="right" vertical="center"/>
    </xf>
    <xf numFmtId="4" fontId="38" fillId="25" borderId="84" applyNumberFormat="0" applyProtection="0">
      <alignment horizontal="right" vertical="center"/>
    </xf>
    <xf numFmtId="6" fontId="79" fillId="36" borderId="62"/>
    <xf numFmtId="0" fontId="1" fillId="0" borderId="0"/>
    <xf numFmtId="5" fontId="77" fillId="30" borderId="62">
      <alignment vertical="top"/>
    </xf>
    <xf numFmtId="43" fontId="11" fillId="0" borderId="0" applyFont="0" applyFill="0" applyBorder="0" applyAlignment="0" applyProtection="0"/>
    <xf numFmtId="0" fontId="1" fillId="33" borderId="84" applyNumberFormat="0" applyProtection="0">
      <alignment horizontal="left" vertical="center" indent="1"/>
    </xf>
    <xf numFmtId="0" fontId="1" fillId="2" borderId="84" applyNumberFormat="0" applyProtection="0">
      <alignment horizontal="left" vertical="center" indent="1"/>
    </xf>
    <xf numFmtId="0" fontId="1" fillId="19" borderId="84" applyNumberFormat="0" applyProtection="0">
      <alignment horizontal="left" vertical="center" indent="1"/>
    </xf>
    <xf numFmtId="0" fontId="1" fillId="19" borderId="84" applyNumberFormat="0" applyProtection="0">
      <alignment horizontal="left" vertical="center" indent="1"/>
    </xf>
    <xf numFmtId="4" fontId="38" fillId="3" borderId="84" applyNumberFormat="0" applyProtection="0">
      <alignment vertical="center"/>
    </xf>
    <xf numFmtId="4" fontId="64" fillId="3" borderId="84" applyNumberFormat="0" applyProtection="0">
      <alignment vertical="center"/>
    </xf>
    <xf numFmtId="4" fontId="38" fillId="3" borderId="84" applyNumberFormat="0" applyProtection="0">
      <alignment horizontal="left" vertical="center" indent="1"/>
    </xf>
    <xf numFmtId="4" fontId="38" fillId="30" borderId="84" applyNumberFormat="0" applyProtection="0">
      <alignment horizontal="right" vertical="center"/>
    </xf>
    <xf numFmtId="4" fontId="64" fillId="30" borderId="84" applyNumberFormat="0" applyProtection="0">
      <alignment horizontal="right" vertical="center"/>
    </xf>
    <xf numFmtId="0" fontId="1" fillId="19" borderId="84" applyNumberFormat="0" applyProtection="0">
      <alignment horizontal="left" vertical="center" indent="1"/>
    </xf>
    <xf numFmtId="4" fontId="68" fillId="30" borderId="84" applyNumberFormat="0" applyProtection="0">
      <alignment horizontal="right" vertical="center"/>
    </xf>
    <xf numFmtId="4" fontId="38" fillId="27" borderId="98" applyNumberFormat="0" applyProtection="0">
      <alignment horizontal="right" vertical="center"/>
    </xf>
    <xf numFmtId="0" fontId="1" fillId="2" borderId="52" applyNumberFormat="0" applyProtection="0">
      <alignment horizontal="left" vertical="center" indent="1"/>
    </xf>
    <xf numFmtId="4" fontId="38" fillId="18" borderId="84" applyNumberFormat="0" applyProtection="0">
      <alignment horizontal="left" vertical="center" indent="1"/>
    </xf>
    <xf numFmtId="0" fontId="1" fillId="19" borderId="84" applyNumberFormat="0" applyProtection="0">
      <alignment horizontal="left" vertical="center" indent="1"/>
    </xf>
    <xf numFmtId="4" fontId="38" fillId="20" borderId="84" applyNumberFormat="0" applyProtection="0">
      <alignment horizontal="right" vertical="center"/>
    </xf>
    <xf numFmtId="4" fontId="38" fillId="21" borderId="84" applyNumberFormat="0" applyProtection="0">
      <alignment horizontal="right" vertical="center"/>
    </xf>
    <xf numFmtId="4" fontId="38" fillId="22" borderId="84" applyNumberFormat="0" applyProtection="0">
      <alignment horizontal="right" vertical="center"/>
    </xf>
    <xf numFmtId="0" fontId="2" fillId="0" borderId="82">
      <alignment horizontal="left" vertical="center"/>
    </xf>
    <xf numFmtId="4" fontId="38" fillId="23" borderId="84" applyNumberFormat="0" applyProtection="0">
      <alignment horizontal="right" vertical="center"/>
    </xf>
    <xf numFmtId="4" fontId="38" fillId="30" borderId="84" applyNumberFormat="0" applyProtection="0">
      <alignment horizontal="left" vertical="center" indent="1"/>
    </xf>
    <xf numFmtId="4" fontId="38" fillId="18" borderId="84" applyNumberFormat="0" applyProtection="0">
      <alignment vertical="center"/>
    </xf>
    <xf numFmtId="4" fontId="64" fillId="18" borderId="84" applyNumberFormat="0" applyProtection="0">
      <alignment vertical="center"/>
    </xf>
    <xf numFmtId="4" fontId="38" fillId="18" borderId="84" applyNumberFormat="0" applyProtection="0">
      <alignment horizontal="left" vertical="center" indent="1"/>
    </xf>
    <xf numFmtId="4" fontId="5" fillId="0" borderId="72" applyNumberFormat="0" applyProtection="0">
      <alignment horizontal="right" vertical="center"/>
    </xf>
    <xf numFmtId="4" fontId="111" fillId="15" borderId="72" applyNumberFormat="0" applyProtection="0">
      <alignment horizontal="right" vertical="center"/>
    </xf>
    <xf numFmtId="4" fontId="5" fillId="50" borderId="72" applyNumberFormat="0" applyProtection="0">
      <alignment horizontal="left" vertical="center" indent="1"/>
    </xf>
    <xf numFmtId="0" fontId="5" fillId="60" borderId="73" applyNumberFormat="0" applyProtection="0">
      <alignment horizontal="left" vertical="top" indent="1"/>
    </xf>
    <xf numFmtId="0" fontId="5" fillId="59" borderId="73" applyNumberFormat="0" applyProtection="0">
      <alignment horizontal="left" vertical="top" indent="1"/>
    </xf>
    <xf numFmtId="0" fontId="5" fillId="44" borderId="73" applyNumberFormat="0" applyProtection="0">
      <alignment horizontal="left" vertical="top" indent="1"/>
    </xf>
    <xf numFmtId="0" fontId="5" fillId="34" borderId="72" applyNumberFormat="0" applyProtection="0">
      <alignment horizontal="left" vertical="center" indent="1"/>
    </xf>
    <xf numFmtId="4" fontId="5" fillId="59" borderId="72" applyNumberFormat="0" applyProtection="0">
      <alignment horizontal="right" vertical="center"/>
    </xf>
    <xf numFmtId="4" fontId="5" fillId="0" borderId="72" applyNumberFormat="0" applyProtection="0">
      <alignment horizontal="right" vertical="center"/>
    </xf>
    <xf numFmtId="4" fontId="111" fillId="15" borderId="72" applyNumberFormat="0" applyProtection="0">
      <alignment horizontal="right" vertical="center"/>
    </xf>
    <xf numFmtId="0" fontId="5" fillId="61" borderId="72" applyNumberFormat="0" applyProtection="0">
      <alignment horizontal="left" vertical="center" indent="1"/>
    </xf>
    <xf numFmtId="0" fontId="5" fillId="44" borderId="72" applyNumberFormat="0" applyProtection="0">
      <alignment horizontal="left" vertical="center" indent="1"/>
    </xf>
    <xf numFmtId="0" fontId="5" fillId="62" borderId="72" applyNumberFormat="0" applyProtection="0">
      <alignment horizontal="left" vertical="center" indent="1"/>
    </xf>
    <xf numFmtId="4" fontId="112" fillId="63" borderId="72" applyNumberFormat="0" applyProtection="0">
      <alignment horizontal="right" vertical="center"/>
    </xf>
    <xf numFmtId="4" fontId="5" fillId="50" borderId="72" applyNumberFormat="0" applyProtection="0">
      <alignment horizontal="left" vertical="center" indent="1"/>
    </xf>
    <xf numFmtId="4" fontId="5" fillId="0" borderId="72" applyNumberFormat="0" applyProtection="0">
      <alignment horizontal="right" vertical="center"/>
    </xf>
    <xf numFmtId="0" fontId="5" fillId="34" borderId="72" applyNumberFormat="0" applyProtection="0">
      <alignment horizontal="left" vertical="center" indent="1"/>
    </xf>
    <xf numFmtId="0" fontId="5" fillId="59" borderId="73" applyNumberFormat="0" applyProtection="0">
      <alignment horizontal="left" vertical="top" indent="1"/>
    </xf>
    <xf numFmtId="4" fontId="38" fillId="21" borderId="77" applyNumberFormat="0" applyProtection="0">
      <alignment horizontal="right" vertical="center"/>
    </xf>
    <xf numFmtId="4" fontId="112" fillId="63" borderId="72" applyNumberFormat="0" applyProtection="0">
      <alignment horizontal="right" vertical="center"/>
    </xf>
    <xf numFmtId="0" fontId="5" fillId="62" borderId="72" applyNumberFormat="0" applyProtection="0">
      <alignment horizontal="left" vertical="center" indent="1"/>
    </xf>
    <xf numFmtId="0" fontId="5" fillId="44" borderId="72" applyNumberFormat="0" applyProtection="0">
      <alignment horizontal="left" vertical="center" indent="1"/>
    </xf>
    <xf numFmtId="0" fontId="5" fillId="61" borderId="72" applyNumberFormat="0" applyProtection="0">
      <alignment horizontal="left" vertical="center" indent="1"/>
    </xf>
    <xf numFmtId="4" fontId="5" fillId="59" borderId="72" applyNumberFormat="0" applyProtection="0">
      <alignment horizontal="right" vertical="center"/>
    </xf>
    <xf numFmtId="0" fontId="5" fillId="44" borderId="73" applyNumberFormat="0" applyProtection="0">
      <alignment horizontal="left" vertical="top" indent="1"/>
    </xf>
    <xf numFmtId="0" fontId="5" fillId="60" borderId="73" applyNumberFormat="0" applyProtection="0">
      <alignment horizontal="left" vertical="top" indent="1"/>
    </xf>
    <xf numFmtId="4" fontId="38" fillId="20" borderId="77" applyNumberFormat="0" applyProtection="0">
      <alignment horizontal="right" vertical="center"/>
    </xf>
    <xf numFmtId="0" fontId="2" fillId="0" borderId="74">
      <alignment horizontal="left" vertical="center"/>
    </xf>
    <xf numFmtId="4" fontId="5" fillId="0" borderId="80" applyNumberFormat="0" applyProtection="0">
      <alignment horizontal="right" vertical="center"/>
    </xf>
    <xf numFmtId="4" fontId="111" fillId="15" borderId="80" applyNumberFormat="0" applyProtection="0">
      <alignment horizontal="right" vertical="center"/>
    </xf>
    <xf numFmtId="0" fontId="5" fillId="61" borderId="80" applyNumberFormat="0" applyProtection="0">
      <alignment horizontal="left" vertical="center" indent="1"/>
    </xf>
    <xf numFmtId="0" fontId="5" fillId="44" borderId="80" applyNumberFormat="0" applyProtection="0">
      <alignment horizontal="left" vertical="center" indent="1"/>
    </xf>
    <xf numFmtId="0" fontId="5" fillId="62" borderId="80" applyNumberFormat="0" applyProtection="0">
      <alignment horizontal="left" vertical="center" indent="1"/>
    </xf>
    <xf numFmtId="4" fontId="112" fillId="63" borderId="80" applyNumberFormat="0" applyProtection="0">
      <alignment horizontal="right" vertical="center"/>
    </xf>
    <xf numFmtId="4" fontId="5" fillId="50" borderId="80" applyNumberFormat="0" applyProtection="0">
      <alignment horizontal="left" vertical="center" indent="1"/>
    </xf>
    <xf numFmtId="4" fontId="5" fillId="0" borderId="80" applyNumberFormat="0" applyProtection="0">
      <alignment horizontal="right" vertical="center"/>
    </xf>
    <xf numFmtId="0" fontId="5" fillId="34" borderId="80" applyNumberFormat="0" applyProtection="0">
      <alignment horizontal="left" vertical="center" indent="1"/>
    </xf>
    <xf numFmtId="0" fontId="5" fillId="59" borderId="81" applyNumberFormat="0" applyProtection="0">
      <alignment horizontal="left" vertical="top" indent="1"/>
    </xf>
    <xf numFmtId="4" fontId="38" fillId="30" borderId="79" applyNumberFormat="0" applyProtection="0">
      <alignment horizontal="left" vertical="center" indent="1"/>
    </xf>
    <xf numFmtId="4" fontId="112" fillId="63" borderId="80" applyNumberFormat="0" applyProtection="0">
      <alignment horizontal="right" vertical="center"/>
    </xf>
    <xf numFmtId="0" fontId="5" fillId="62" borderId="80" applyNumberFormat="0" applyProtection="0">
      <alignment horizontal="left" vertical="center" indent="1"/>
    </xf>
    <xf numFmtId="0" fontId="5" fillId="44" borderId="80" applyNumberFormat="0" applyProtection="0">
      <alignment horizontal="left" vertical="center" indent="1"/>
    </xf>
    <xf numFmtId="0" fontId="5" fillId="61" borderId="80" applyNumberFormat="0" applyProtection="0">
      <alignment horizontal="left" vertical="center" indent="1"/>
    </xf>
    <xf numFmtId="4" fontId="5" fillId="59" borderId="80" applyNumberFormat="0" applyProtection="0">
      <alignment horizontal="right" vertical="center"/>
    </xf>
    <xf numFmtId="0" fontId="94" fillId="58" borderId="76" applyNumberFormat="0" applyFont="0" applyAlignment="0" applyProtection="0"/>
    <xf numFmtId="0" fontId="5" fillId="44" borderId="81" applyNumberFormat="0" applyProtection="0">
      <alignment horizontal="left" vertical="top" indent="1"/>
    </xf>
    <xf numFmtId="0" fontId="5" fillId="60" borderId="81" applyNumberFormat="0" applyProtection="0">
      <alignment horizontal="left" vertical="top" indent="1"/>
    </xf>
    <xf numFmtId="4" fontId="38" fillId="28" borderId="84" applyNumberFormat="0" applyProtection="0">
      <alignment horizontal="right" vertical="center"/>
    </xf>
    <xf numFmtId="0" fontId="94" fillId="58" borderId="76" applyNumberFormat="0" applyFont="0" applyAlignment="0" applyProtection="0"/>
    <xf numFmtId="4" fontId="38" fillId="27" borderId="84" applyNumberFormat="0" applyProtection="0">
      <alignment horizontal="right" vertical="center"/>
    </xf>
    <xf numFmtId="4" fontId="38" fillId="24" borderId="84" applyNumberFormat="0" applyProtection="0">
      <alignment horizontal="right" vertical="center"/>
    </xf>
    <xf numFmtId="4" fontId="65" fillId="29" borderId="84" applyNumberFormat="0" applyProtection="0">
      <alignment horizontal="left" vertical="center" indent="1"/>
    </xf>
    <xf numFmtId="4" fontId="5" fillId="0" borderId="80" applyNumberFormat="0" applyProtection="0">
      <alignment horizontal="right" vertical="center"/>
    </xf>
    <xf numFmtId="4" fontId="111" fillId="15" borderId="80" applyNumberFormat="0" applyProtection="0">
      <alignment horizontal="right" vertical="center"/>
    </xf>
    <xf numFmtId="4" fontId="5" fillId="50" borderId="80" applyNumberFormat="0" applyProtection="0">
      <alignment horizontal="left" vertical="center" indent="1"/>
    </xf>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34" borderId="80" applyNumberFormat="0" applyProtection="0">
      <alignment horizontal="left" vertical="center" indent="1"/>
    </xf>
    <xf numFmtId="4" fontId="5" fillId="59" borderId="80" applyNumberFormat="0" applyProtection="0">
      <alignment horizontal="right" vertical="center"/>
    </xf>
    <xf numFmtId="4" fontId="5" fillId="0" borderId="80" applyNumberFormat="0" applyProtection="0">
      <alignment horizontal="right" vertical="center"/>
    </xf>
    <xf numFmtId="4" fontId="111" fillId="15" borderId="80" applyNumberFormat="0" applyProtection="0">
      <alignment horizontal="right" vertical="center"/>
    </xf>
    <xf numFmtId="0" fontId="5" fillId="61" borderId="80" applyNumberFormat="0" applyProtection="0">
      <alignment horizontal="left" vertical="center" indent="1"/>
    </xf>
    <xf numFmtId="0" fontId="5" fillId="44" borderId="80" applyNumberFormat="0" applyProtection="0">
      <alignment horizontal="left" vertical="center" indent="1"/>
    </xf>
    <xf numFmtId="0" fontId="5" fillId="62" borderId="80" applyNumberFormat="0" applyProtection="0">
      <alignment horizontal="left" vertical="center" indent="1"/>
    </xf>
    <xf numFmtId="4" fontId="112" fillId="63" borderId="80" applyNumberFormat="0" applyProtection="0">
      <alignment horizontal="right" vertical="center"/>
    </xf>
    <xf numFmtId="4" fontId="5" fillId="50" borderId="80" applyNumberFormat="0" applyProtection="0">
      <alignment horizontal="left" vertical="center" indent="1"/>
    </xf>
    <xf numFmtId="4" fontId="5" fillId="0" borderId="80" applyNumberFormat="0" applyProtection="0">
      <alignment horizontal="right" vertical="center"/>
    </xf>
    <xf numFmtId="0" fontId="5" fillId="34" borderId="80" applyNumberFormat="0" applyProtection="0">
      <alignment horizontal="left" vertical="center" indent="1"/>
    </xf>
    <xf numFmtId="0" fontId="5" fillId="59" borderId="81" applyNumberFormat="0" applyProtection="0">
      <alignment horizontal="left" vertical="top" indent="1"/>
    </xf>
    <xf numFmtId="4" fontId="112" fillId="63" borderId="80" applyNumberFormat="0" applyProtection="0">
      <alignment horizontal="right" vertical="center"/>
    </xf>
    <xf numFmtId="0" fontId="5" fillId="62" borderId="80" applyNumberFormat="0" applyProtection="0">
      <alignment horizontal="left" vertical="center" indent="1"/>
    </xf>
    <xf numFmtId="0" fontId="5" fillId="44" borderId="80" applyNumberFormat="0" applyProtection="0">
      <alignment horizontal="left" vertical="center" indent="1"/>
    </xf>
    <xf numFmtId="0" fontId="5" fillId="61" borderId="80" applyNumberFormat="0" applyProtection="0">
      <alignment horizontal="left" vertical="center" indent="1"/>
    </xf>
    <xf numFmtId="4" fontId="5" fillId="59" borderId="80" applyNumberFormat="0" applyProtection="0">
      <alignment horizontal="right" vertical="center"/>
    </xf>
    <xf numFmtId="0" fontId="94" fillId="58" borderId="83" applyNumberFormat="0" applyFont="0" applyAlignment="0" applyProtection="0"/>
    <xf numFmtId="0" fontId="5" fillId="44" borderId="81" applyNumberFormat="0" applyProtection="0">
      <alignment horizontal="left" vertical="top" indent="1"/>
    </xf>
    <xf numFmtId="0" fontId="5" fillId="60" borderId="81" applyNumberFormat="0" applyProtection="0">
      <alignment horizontal="left" vertical="top" indent="1"/>
    </xf>
    <xf numFmtId="0" fontId="94" fillId="58" borderId="83" applyNumberFormat="0" applyFont="0" applyAlignment="0" applyProtection="0"/>
    <xf numFmtId="0" fontId="11" fillId="0" borderId="0"/>
    <xf numFmtId="0" fontId="104" fillId="43" borderId="102" applyNumberFormat="0" applyAlignment="0" applyProtection="0"/>
    <xf numFmtId="0" fontId="1" fillId="58" borderId="51" applyNumberFormat="0" applyFont="0" applyAlignment="0" applyProtection="0"/>
    <xf numFmtId="0" fontId="107" fillId="34" borderId="52" applyNumberFormat="0" applyAlignment="0" applyProtection="0"/>
    <xf numFmtId="43" fontId="1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187" fontId="50" fillId="0" borderId="101"/>
    <xf numFmtId="9" fontId="1" fillId="0" borderId="0" applyFont="0" applyFill="0" applyBorder="0" applyAlignment="0" applyProtection="0"/>
    <xf numFmtId="4" fontId="38" fillId="25" borderId="98" applyNumberFormat="0" applyProtection="0">
      <alignment horizontal="right" vertical="center"/>
    </xf>
    <xf numFmtId="0" fontId="109" fillId="0" borderId="53" applyNumberFormat="0" applyFill="0" applyAlignment="0" applyProtection="0"/>
    <xf numFmtId="4" fontId="38" fillId="18" borderId="98" applyNumberFormat="0" applyProtection="0">
      <alignment vertical="center"/>
    </xf>
    <xf numFmtId="9" fontId="43" fillId="0" borderId="0" applyFont="0" applyFill="0" applyBorder="0" applyAlignment="0" applyProtection="0"/>
    <xf numFmtId="4" fontId="5" fillId="0" borderId="72" applyNumberFormat="0" applyProtection="0">
      <alignment horizontal="right" vertical="center"/>
    </xf>
    <xf numFmtId="4" fontId="111" fillId="15" borderId="72" applyNumberFormat="0" applyProtection="0">
      <alignment horizontal="right" vertical="center"/>
    </xf>
    <xf numFmtId="0" fontId="18" fillId="0" borderId="0"/>
    <xf numFmtId="4" fontId="5" fillId="50" borderId="72" applyNumberFormat="0" applyProtection="0">
      <alignment horizontal="left" vertical="center" indent="1"/>
    </xf>
    <xf numFmtId="0" fontId="5" fillId="60" borderId="73" applyNumberFormat="0" applyProtection="0">
      <alignment horizontal="left" vertical="top" indent="1"/>
    </xf>
    <xf numFmtId="0" fontId="5" fillId="59" borderId="73" applyNumberFormat="0" applyProtection="0">
      <alignment horizontal="left" vertical="top" indent="1"/>
    </xf>
    <xf numFmtId="0" fontId="5" fillId="44" borderId="73" applyNumberFormat="0" applyProtection="0">
      <alignment horizontal="left" vertical="top" indent="1"/>
    </xf>
    <xf numFmtId="0" fontId="5" fillId="34" borderId="72" applyNumberFormat="0" applyProtection="0">
      <alignment horizontal="left" vertical="center" indent="1"/>
    </xf>
    <xf numFmtId="4" fontId="5" fillId="59" borderId="72" applyNumberFormat="0" applyProtection="0">
      <alignment horizontal="right" vertical="center"/>
    </xf>
    <xf numFmtId="4" fontId="5" fillId="0" borderId="72" applyNumberFormat="0" applyProtection="0">
      <alignment horizontal="right" vertical="center"/>
    </xf>
    <xf numFmtId="4" fontId="111" fillId="15" borderId="72" applyNumberFormat="0" applyProtection="0">
      <alignment horizontal="right" vertical="center"/>
    </xf>
    <xf numFmtId="0" fontId="5" fillId="61" borderId="72" applyNumberFormat="0" applyProtection="0">
      <alignment horizontal="left" vertical="center" indent="1"/>
    </xf>
    <xf numFmtId="0" fontId="5" fillId="44" borderId="72" applyNumberFormat="0" applyProtection="0">
      <alignment horizontal="left" vertical="center" indent="1"/>
    </xf>
    <xf numFmtId="0" fontId="5" fillId="62" borderId="72" applyNumberFormat="0" applyProtection="0">
      <alignment horizontal="left" vertical="center" indent="1"/>
    </xf>
    <xf numFmtId="4" fontId="112" fillId="63" borderId="72" applyNumberFormat="0" applyProtection="0">
      <alignment horizontal="right" vertical="center"/>
    </xf>
    <xf numFmtId="4" fontId="5" fillId="50" borderId="72" applyNumberFormat="0" applyProtection="0">
      <alignment horizontal="left" vertical="center" indent="1"/>
    </xf>
    <xf numFmtId="4" fontId="5" fillId="0" borderId="72" applyNumberFormat="0" applyProtection="0">
      <alignment horizontal="right" vertical="center"/>
    </xf>
    <xf numFmtId="0" fontId="5" fillId="34" borderId="72" applyNumberFormat="0" applyProtection="0">
      <alignment horizontal="left" vertical="center" indent="1"/>
    </xf>
    <xf numFmtId="0" fontId="5" fillId="59" borderId="73" applyNumberFormat="0" applyProtection="0">
      <alignment horizontal="left" vertical="top" indent="1"/>
    </xf>
    <xf numFmtId="43" fontId="1" fillId="0" borderId="0" applyFont="0" applyFill="0" applyBorder="0" applyAlignment="0" applyProtection="0"/>
    <xf numFmtId="43" fontId="1" fillId="0" borderId="0" applyFont="0" applyFill="0" applyBorder="0" applyAlignment="0" applyProtection="0"/>
    <xf numFmtId="9" fontId="43" fillId="0" borderId="0" applyFont="0" applyFill="0" applyBorder="0" applyAlignment="0" applyProtection="0"/>
    <xf numFmtId="4" fontId="112" fillId="63" borderId="72" applyNumberFormat="0" applyProtection="0">
      <alignment horizontal="right" vertical="center"/>
    </xf>
    <xf numFmtId="0" fontId="5" fillId="62" borderId="72" applyNumberFormat="0" applyProtection="0">
      <alignment horizontal="left" vertical="center" indent="1"/>
    </xf>
    <xf numFmtId="0" fontId="5" fillId="44" borderId="72" applyNumberFormat="0" applyProtection="0">
      <alignment horizontal="left" vertical="center" indent="1"/>
    </xf>
    <xf numFmtId="0" fontId="5" fillId="61" borderId="72" applyNumberFormat="0" applyProtection="0">
      <alignment horizontal="left" vertical="center" indent="1"/>
    </xf>
    <xf numFmtId="0" fontId="1" fillId="19" borderId="98" applyNumberFormat="0" applyProtection="0">
      <alignment horizontal="left" vertical="center" indent="1"/>
    </xf>
    <xf numFmtId="4" fontId="5" fillId="59" borderId="72" applyNumberFormat="0" applyProtection="0">
      <alignment horizontal="right" vertical="center"/>
    </xf>
    <xf numFmtId="0" fontId="94" fillId="58" borderId="51" applyNumberFormat="0" applyFont="0" applyAlignment="0" applyProtection="0"/>
    <xf numFmtId="0" fontId="5" fillId="44" borderId="73" applyNumberFormat="0" applyProtection="0">
      <alignment horizontal="left" vertical="top" indent="1"/>
    </xf>
    <xf numFmtId="0" fontId="5" fillId="60" borderId="73" applyNumberFormat="0" applyProtection="0">
      <alignment horizontal="left" vertical="top" indent="1"/>
    </xf>
    <xf numFmtId="43" fontId="19" fillId="0" borderId="0" applyFont="0" applyFill="0" applyBorder="0" applyAlignment="0" applyProtection="0"/>
    <xf numFmtId="5" fontId="36" fillId="0" borderId="101" applyAlignment="0" applyProtection="0"/>
    <xf numFmtId="0" fontId="1" fillId="19" borderId="98" applyNumberFormat="0" applyProtection="0">
      <alignment horizontal="left" vertical="center" indent="1"/>
    </xf>
    <xf numFmtId="0" fontId="94" fillId="58" borderId="51"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200" fontId="1" fillId="0" borderId="0" applyFont="0" applyFill="0" applyBorder="0" applyAlignment="0" applyProtection="0"/>
    <xf numFmtId="43" fontId="94" fillId="0" borderId="0" applyFont="0" applyFill="0" applyBorder="0" applyAlignment="0" applyProtection="0"/>
    <xf numFmtId="43" fontId="1" fillId="0" borderId="0" applyFont="0" applyFill="0" applyBorder="0" applyAlignment="0" applyProtection="0"/>
    <xf numFmtId="0" fontId="11" fillId="0" borderId="0"/>
    <xf numFmtId="4" fontId="38" fillId="18" borderId="98" applyNumberFormat="0" applyProtection="0">
      <alignment horizontal="left" vertical="center" indent="1"/>
    </xf>
    <xf numFmtId="4" fontId="38" fillId="3" borderId="91" applyNumberFormat="0" applyProtection="0">
      <alignment horizontal="left" vertical="center" indent="1"/>
    </xf>
    <xf numFmtId="0" fontId="1" fillId="33" borderId="98" applyNumberFormat="0" applyProtection="0">
      <alignment horizontal="left" vertical="center" indent="1"/>
    </xf>
    <xf numFmtId="4" fontId="68" fillId="30" borderId="91" applyNumberFormat="0" applyProtection="0">
      <alignment horizontal="right" vertical="center"/>
    </xf>
    <xf numFmtId="0" fontId="1" fillId="19" borderId="91" applyNumberFormat="0" applyProtection="0">
      <alignment horizontal="left" vertical="center" indent="1"/>
    </xf>
    <xf numFmtId="0" fontId="1" fillId="19" borderId="91" applyNumberFormat="0" applyProtection="0">
      <alignment horizontal="left" vertical="center" indent="1"/>
    </xf>
    <xf numFmtId="4" fontId="64" fillId="30" borderId="91" applyNumberFormat="0" applyProtection="0">
      <alignment horizontal="right" vertical="center"/>
    </xf>
    <xf numFmtId="4" fontId="38" fillId="30" borderId="91" applyNumberFormat="0" applyProtection="0">
      <alignment horizontal="right" vertical="center"/>
    </xf>
    <xf numFmtId="4" fontId="38" fillId="3" borderId="91" applyNumberFormat="0" applyProtection="0">
      <alignment horizontal="left" vertical="center" indent="1"/>
    </xf>
    <xf numFmtId="4" fontId="64" fillId="3" borderId="91" applyNumberFormat="0" applyProtection="0">
      <alignment vertical="center"/>
    </xf>
    <xf numFmtId="4" fontId="38" fillId="3" borderId="91" applyNumberFormat="0" applyProtection="0">
      <alignment vertical="center"/>
    </xf>
    <xf numFmtId="0" fontId="1" fillId="19" borderId="91" applyNumberFormat="0" applyProtection="0">
      <alignment horizontal="left" vertical="center" indent="1"/>
    </xf>
    <xf numFmtId="0" fontId="1" fillId="19" borderId="91" applyNumberFormat="0" applyProtection="0">
      <alignment horizontal="left" vertical="center" indent="1"/>
    </xf>
    <xf numFmtId="0" fontId="1" fillId="2" borderId="91" applyNumberFormat="0" applyProtection="0">
      <alignment horizontal="left" vertical="center" indent="1"/>
    </xf>
    <xf numFmtId="0" fontId="1" fillId="2" borderId="91" applyNumberFormat="0" applyProtection="0">
      <alignment horizontal="left" vertical="center" indent="1"/>
    </xf>
    <xf numFmtId="0" fontId="1" fillId="33" borderId="91" applyNumberFormat="0" applyProtection="0">
      <alignment horizontal="left" vertical="center" indent="1"/>
    </xf>
    <xf numFmtId="0" fontId="1" fillId="33" borderId="91" applyNumberFormat="0" applyProtection="0">
      <alignment horizontal="left" vertical="center" indent="1"/>
    </xf>
    <xf numFmtId="0" fontId="1" fillId="32" borderId="91" applyNumberFormat="0" applyProtection="0">
      <alignment horizontal="left" vertical="center" indent="1"/>
    </xf>
    <xf numFmtId="0" fontId="1" fillId="32" borderId="91" applyNumberFormat="0" applyProtection="0">
      <alignment horizontal="left" vertical="center" indent="1"/>
    </xf>
    <xf numFmtId="4" fontId="38" fillId="32" borderId="91" applyNumberFormat="0" applyProtection="0">
      <alignment horizontal="left" vertical="center" indent="1"/>
    </xf>
    <xf numFmtId="4" fontId="38" fillId="30" borderId="91" applyNumberFormat="0" applyProtection="0">
      <alignment horizontal="left" vertical="center" indent="1"/>
    </xf>
    <xf numFmtId="0" fontId="1" fillId="19" borderId="91" applyNumberFormat="0" applyProtection="0">
      <alignment horizontal="left" vertical="center" indent="1"/>
    </xf>
    <xf numFmtId="4" fontId="38" fillId="30" borderId="93" applyNumberFormat="0" applyProtection="0">
      <alignment horizontal="left" vertical="center" indent="1"/>
    </xf>
    <xf numFmtId="4" fontId="65" fillId="29" borderId="91" applyNumberFormat="0" applyProtection="0">
      <alignment horizontal="left" vertical="center" indent="1"/>
    </xf>
    <xf numFmtId="4" fontId="38" fillId="23" borderId="91" applyNumberFormat="0" applyProtection="0">
      <alignment horizontal="right" vertical="center"/>
    </xf>
    <xf numFmtId="0" fontId="1" fillId="19" borderId="91" applyNumberFormat="0" applyProtection="0">
      <alignment horizontal="left" vertical="center" indent="1"/>
    </xf>
    <xf numFmtId="4" fontId="38" fillId="18" borderId="91" applyNumberFormat="0" applyProtection="0">
      <alignment horizontal="left" vertical="center" indent="1"/>
    </xf>
    <xf numFmtId="4" fontId="38" fillId="18" borderId="91" applyNumberFormat="0" applyProtection="0">
      <alignment horizontal="left" vertical="center" indent="1"/>
    </xf>
    <xf numFmtId="4" fontId="64" fillId="18" borderId="91" applyNumberFormat="0" applyProtection="0">
      <alignment vertical="center"/>
    </xf>
    <xf numFmtId="4" fontId="38" fillId="18" borderId="91" applyNumberFormat="0" applyProtection="0">
      <alignment vertical="center"/>
    </xf>
    <xf numFmtId="0" fontId="109" fillId="0" borderId="92" applyNumberFormat="0" applyFill="0" applyAlignment="0" applyProtection="0"/>
    <xf numFmtId="0" fontId="107" fillId="34" borderId="91" applyNumberFormat="0" applyAlignment="0" applyProtection="0"/>
    <xf numFmtId="4" fontId="38" fillId="28" borderId="91" applyNumberFormat="0" applyProtection="0">
      <alignment horizontal="right" vertical="center"/>
    </xf>
    <xf numFmtId="0" fontId="97" fillId="34" borderId="89" applyNumberFormat="0" applyAlignment="0" applyProtection="0"/>
    <xf numFmtId="0" fontId="1" fillId="32" borderId="98" applyNumberFormat="0" applyProtection="0">
      <alignment horizontal="left" vertical="center" indent="1"/>
    </xf>
    <xf numFmtId="4" fontId="38" fillId="24" borderId="91" applyNumberFormat="0" applyProtection="0">
      <alignment horizontal="right" vertical="center"/>
    </xf>
    <xf numFmtId="0" fontId="104" fillId="43" borderId="89" applyNumberFormat="0" applyAlignment="0" applyProtection="0"/>
    <xf numFmtId="4" fontId="38" fillId="26" borderId="98" applyNumberFormat="0" applyProtection="0">
      <alignment horizontal="right" vertical="center"/>
    </xf>
    <xf numFmtId="4" fontId="38" fillId="26" borderId="91" applyNumberFormat="0" applyProtection="0">
      <alignment horizontal="right" vertical="center"/>
    </xf>
    <xf numFmtId="0" fontId="1" fillId="58" borderId="90" applyNumberFormat="0" applyFont="0" applyAlignment="0" applyProtection="0"/>
    <xf numFmtId="4" fontId="38" fillId="27" borderId="91" applyNumberFormat="0" applyProtection="0">
      <alignment horizontal="right" vertical="center"/>
    </xf>
    <xf numFmtId="4" fontId="38" fillId="25" borderId="91" applyNumberFormat="0" applyProtection="0">
      <alignment horizontal="right" vertical="center"/>
    </xf>
    <xf numFmtId="4" fontId="38" fillId="22" borderId="91" applyNumberFormat="0" applyProtection="0">
      <alignment horizontal="right" vertical="center"/>
    </xf>
    <xf numFmtId="0" fontId="1" fillId="19" borderId="98" applyNumberFormat="0" applyProtection="0">
      <alignment horizontal="left" vertical="center" indent="1"/>
    </xf>
    <xf numFmtId="0" fontId="1" fillId="58" borderId="97" applyNumberFormat="0" applyFont="0" applyAlignment="0" applyProtection="0"/>
    <xf numFmtId="5" fontId="55" fillId="0" borderId="87">
      <alignment horizontal="left" vertical="top"/>
    </xf>
    <xf numFmtId="0" fontId="1" fillId="19" borderId="98" applyNumberFormat="0" applyProtection="0">
      <alignment horizontal="left" vertical="center" indent="1"/>
    </xf>
    <xf numFmtId="4" fontId="38" fillId="32" borderId="98" applyNumberFormat="0" applyProtection="0">
      <alignment horizontal="left" vertical="center" indent="1"/>
    </xf>
    <xf numFmtId="0" fontId="1" fillId="32" borderId="98" applyNumberFormat="0" applyProtection="0">
      <alignment horizontal="left" vertical="center" indent="1"/>
    </xf>
    <xf numFmtId="0" fontId="1" fillId="2" borderId="98" applyNumberFormat="0" applyProtection="0">
      <alignment horizontal="left" vertical="center" indent="1"/>
    </xf>
    <xf numFmtId="4" fontId="38" fillId="3" borderId="98" applyNumberFormat="0" applyProtection="0">
      <alignment horizontal="left" vertical="center" indent="1"/>
    </xf>
    <xf numFmtId="0" fontId="107" fillId="34" borderId="98" applyNumberFormat="0" applyAlignment="0" applyProtection="0"/>
    <xf numFmtId="0" fontId="109" fillId="0" borderId="99" applyNumberFormat="0" applyFill="0" applyAlignment="0" applyProtection="0"/>
    <xf numFmtId="0" fontId="97" fillId="34" borderId="102" applyNumberFormat="0" applyAlignment="0" applyProtection="0"/>
    <xf numFmtId="4" fontId="5" fillId="59" borderId="94" applyNumberFormat="0" applyProtection="0">
      <alignment horizontal="right" vertical="center"/>
    </xf>
    <xf numFmtId="0" fontId="5" fillId="34" borderId="94" applyNumberFormat="0" applyProtection="0">
      <alignment horizontal="left" vertical="center" indent="1"/>
    </xf>
    <xf numFmtId="0" fontId="5" fillId="44" borderId="95" applyNumberFormat="0" applyProtection="0">
      <alignment horizontal="left" vertical="top" indent="1"/>
    </xf>
    <xf numFmtId="0" fontId="5" fillId="59" borderId="95" applyNumberFormat="0" applyProtection="0">
      <alignment horizontal="left" vertical="top" indent="1"/>
    </xf>
    <xf numFmtId="0" fontId="5" fillId="60" borderId="95" applyNumberFormat="0" applyProtection="0">
      <alignment horizontal="left" vertical="top" indent="1"/>
    </xf>
    <xf numFmtId="4" fontId="5" fillId="50" borderId="94" applyNumberFormat="0" applyProtection="0">
      <alignment horizontal="left" vertical="center" indent="1"/>
    </xf>
    <xf numFmtId="4" fontId="111" fillId="15" borderId="94" applyNumberFormat="0" applyProtection="0">
      <alignment horizontal="right" vertical="center"/>
    </xf>
    <xf numFmtId="4" fontId="5" fillId="0" borderId="94" applyNumberFormat="0" applyProtection="0">
      <alignment horizontal="right" vertical="center"/>
    </xf>
    <xf numFmtId="4" fontId="38" fillId="25" borderId="98" applyNumberFormat="0" applyProtection="0">
      <alignment horizontal="right" vertical="center"/>
    </xf>
    <xf numFmtId="6" fontId="79" fillId="36" borderId="87"/>
    <xf numFmtId="5" fontId="77" fillId="30" borderId="87">
      <alignment vertical="top"/>
    </xf>
    <xf numFmtId="43" fontId="29" fillId="0" borderId="0" applyFont="0" applyFill="0" applyBorder="0" applyAlignment="0" applyProtection="0"/>
    <xf numFmtId="43" fontId="11" fillId="0" borderId="0" applyFont="0" applyFill="0" applyBorder="0" applyAlignment="0" applyProtection="0"/>
    <xf numFmtId="0" fontId="1" fillId="33" borderId="98" applyNumberFormat="0" applyProtection="0">
      <alignment horizontal="left" vertical="center" indent="1"/>
    </xf>
    <xf numFmtId="0" fontId="1" fillId="2" borderId="98" applyNumberFormat="0" applyProtection="0">
      <alignment horizontal="left" vertical="center" indent="1"/>
    </xf>
    <xf numFmtId="0" fontId="1" fillId="19" borderId="98" applyNumberFormat="0" applyProtection="0">
      <alignment horizontal="left" vertical="center" indent="1"/>
    </xf>
    <xf numFmtId="0" fontId="1" fillId="19" borderId="98" applyNumberFormat="0" applyProtection="0">
      <alignment horizontal="left" vertical="center" indent="1"/>
    </xf>
    <xf numFmtId="4" fontId="38" fillId="3" borderId="98" applyNumberFormat="0" applyProtection="0">
      <alignment vertical="center"/>
    </xf>
    <xf numFmtId="4" fontId="64" fillId="3" borderId="98" applyNumberFormat="0" applyProtection="0">
      <alignment vertical="center"/>
    </xf>
    <xf numFmtId="4" fontId="38" fillId="3" borderId="98" applyNumberFormat="0" applyProtection="0">
      <alignment horizontal="left" vertical="center" indent="1"/>
    </xf>
    <xf numFmtId="4" fontId="38" fillId="30" borderId="98" applyNumberFormat="0" applyProtection="0">
      <alignment horizontal="right" vertical="center"/>
    </xf>
    <xf numFmtId="4" fontId="64" fillId="30" borderId="98" applyNumberFormat="0" applyProtection="0">
      <alignment horizontal="right" vertical="center"/>
    </xf>
    <xf numFmtId="0" fontId="1" fillId="19" borderId="98" applyNumberFormat="0" applyProtection="0">
      <alignment horizontal="left" vertical="center" indent="1"/>
    </xf>
    <xf numFmtId="4" fontId="68" fillId="30" borderId="98" applyNumberFormat="0" applyProtection="0">
      <alignment horizontal="right" vertical="center"/>
    </xf>
    <xf numFmtId="0" fontId="1" fillId="2" borderId="98" applyNumberFormat="0" applyProtection="0">
      <alignment horizontal="left" vertical="center" indent="1"/>
    </xf>
    <xf numFmtId="4" fontId="38" fillId="18" borderId="98" applyNumberFormat="0" applyProtection="0">
      <alignment horizontal="left" vertical="center" indent="1"/>
    </xf>
    <xf numFmtId="0" fontId="1" fillId="19" borderId="98" applyNumberFormat="0" applyProtection="0">
      <alignment horizontal="left" vertical="center" indent="1"/>
    </xf>
    <xf numFmtId="4" fontId="38" fillId="20" borderId="98" applyNumberFormat="0" applyProtection="0">
      <alignment horizontal="right" vertical="center"/>
    </xf>
    <xf numFmtId="4" fontId="38" fillId="21" borderId="98" applyNumberFormat="0" applyProtection="0">
      <alignment horizontal="right" vertical="center"/>
    </xf>
    <xf numFmtId="4" fontId="38" fillId="22" borderId="98" applyNumberFormat="0" applyProtection="0">
      <alignment horizontal="right" vertical="center"/>
    </xf>
    <xf numFmtId="0" fontId="2" fillId="0" borderId="96">
      <alignment horizontal="left" vertical="center"/>
    </xf>
    <xf numFmtId="4" fontId="38" fillId="23" borderId="98" applyNumberFormat="0" applyProtection="0">
      <alignment horizontal="right" vertical="center"/>
    </xf>
    <xf numFmtId="4" fontId="38" fillId="30" borderId="98" applyNumberFormat="0" applyProtection="0">
      <alignment horizontal="left" vertical="center" indent="1"/>
    </xf>
    <xf numFmtId="4" fontId="38" fillId="18" borderId="98" applyNumberFormat="0" applyProtection="0">
      <alignment vertical="center"/>
    </xf>
    <xf numFmtId="4" fontId="64" fillId="18" borderId="98" applyNumberFormat="0" applyProtection="0">
      <alignment vertical="center"/>
    </xf>
    <xf numFmtId="4" fontId="38" fillId="18" borderId="98" applyNumberFormat="0" applyProtection="0">
      <alignment horizontal="left" vertical="center" indent="1"/>
    </xf>
    <xf numFmtId="4" fontId="5" fillId="0" borderId="72" applyNumberFormat="0" applyProtection="0">
      <alignment horizontal="right" vertical="center"/>
    </xf>
    <xf numFmtId="4" fontId="111" fillId="15" borderId="72" applyNumberFormat="0" applyProtection="0">
      <alignment horizontal="right" vertical="center"/>
    </xf>
    <xf numFmtId="4" fontId="5" fillId="50" borderId="72" applyNumberFormat="0" applyProtection="0">
      <alignment horizontal="left" vertical="center" indent="1"/>
    </xf>
    <xf numFmtId="0" fontId="5" fillId="60" borderId="73" applyNumberFormat="0" applyProtection="0">
      <alignment horizontal="left" vertical="top" indent="1"/>
    </xf>
    <xf numFmtId="0" fontId="5" fillId="59" borderId="73" applyNumberFormat="0" applyProtection="0">
      <alignment horizontal="left" vertical="top" indent="1"/>
    </xf>
    <xf numFmtId="0" fontId="5" fillId="44" borderId="73" applyNumberFormat="0" applyProtection="0">
      <alignment horizontal="left" vertical="top" indent="1"/>
    </xf>
    <xf numFmtId="0" fontId="5" fillId="34" borderId="72" applyNumberFormat="0" applyProtection="0">
      <alignment horizontal="left" vertical="center" indent="1"/>
    </xf>
    <xf numFmtId="4" fontId="5" fillId="59" borderId="72" applyNumberFormat="0" applyProtection="0">
      <alignment horizontal="right" vertical="center"/>
    </xf>
    <xf numFmtId="4" fontId="5" fillId="0" borderId="72" applyNumberFormat="0" applyProtection="0">
      <alignment horizontal="right" vertical="center"/>
    </xf>
    <xf numFmtId="4" fontId="111" fillId="15" borderId="72" applyNumberFormat="0" applyProtection="0">
      <alignment horizontal="right" vertical="center"/>
    </xf>
    <xf numFmtId="0" fontId="5" fillId="61" borderId="72" applyNumberFormat="0" applyProtection="0">
      <alignment horizontal="left" vertical="center" indent="1"/>
    </xf>
    <xf numFmtId="0" fontId="5" fillId="44" borderId="72" applyNumberFormat="0" applyProtection="0">
      <alignment horizontal="left" vertical="center" indent="1"/>
    </xf>
    <xf numFmtId="0" fontId="5" fillId="62" borderId="72" applyNumberFormat="0" applyProtection="0">
      <alignment horizontal="left" vertical="center" indent="1"/>
    </xf>
    <xf numFmtId="4" fontId="112" fillId="63" borderId="72" applyNumberFormat="0" applyProtection="0">
      <alignment horizontal="right" vertical="center"/>
    </xf>
    <xf numFmtId="4" fontId="5" fillId="50" borderId="72" applyNumberFormat="0" applyProtection="0">
      <alignment horizontal="left" vertical="center" indent="1"/>
    </xf>
    <xf numFmtId="4" fontId="5" fillId="0" borderId="72" applyNumberFormat="0" applyProtection="0">
      <alignment horizontal="right" vertical="center"/>
    </xf>
    <xf numFmtId="0" fontId="5" fillId="34" borderId="72" applyNumberFormat="0" applyProtection="0">
      <alignment horizontal="left" vertical="center" indent="1"/>
    </xf>
    <xf numFmtId="0" fontId="5" fillId="59" borderId="73" applyNumberFormat="0" applyProtection="0">
      <alignment horizontal="left" vertical="top" indent="1"/>
    </xf>
    <xf numFmtId="4" fontId="38" fillId="21" borderId="91" applyNumberFormat="0" applyProtection="0">
      <alignment horizontal="right" vertical="center"/>
    </xf>
    <xf numFmtId="4" fontId="112" fillId="63" borderId="72" applyNumberFormat="0" applyProtection="0">
      <alignment horizontal="right" vertical="center"/>
    </xf>
    <xf numFmtId="0" fontId="5" fillId="62" borderId="72" applyNumberFormat="0" applyProtection="0">
      <alignment horizontal="left" vertical="center" indent="1"/>
    </xf>
    <xf numFmtId="0" fontId="5" fillId="44" borderId="72" applyNumberFormat="0" applyProtection="0">
      <alignment horizontal="left" vertical="center" indent="1"/>
    </xf>
    <xf numFmtId="0" fontId="5" fillId="61" borderId="72" applyNumberFormat="0" applyProtection="0">
      <alignment horizontal="left" vertical="center" indent="1"/>
    </xf>
    <xf numFmtId="4" fontId="5" fillId="59" borderId="72" applyNumberFormat="0" applyProtection="0">
      <alignment horizontal="right" vertical="center"/>
    </xf>
    <xf numFmtId="0" fontId="5" fillId="44" borderId="73" applyNumberFormat="0" applyProtection="0">
      <alignment horizontal="left" vertical="top" indent="1"/>
    </xf>
    <xf numFmtId="0" fontId="5" fillId="60" borderId="73" applyNumberFormat="0" applyProtection="0">
      <alignment horizontal="left" vertical="top" indent="1"/>
    </xf>
    <xf numFmtId="4" fontId="38" fillId="20" borderId="91" applyNumberFormat="0" applyProtection="0">
      <alignment horizontal="right" vertical="center"/>
    </xf>
    <xf numFmtId="0" fontId="2" fillId="0" borderId="88">
      <alignment horizontal="left" vertical="center"/>
    </xf>
    <xf numFmtId="4" fontId="5" fillId="0" borderId="94" applyNumberFormat="0" applyProtection="0">
      <alignment horizontal="right" vertical="center"/>
    </xf>
    <xf numFmtId="4" fontId="111" fillId="15" borderId="94" applyNumberFormat="0" applyProtection="0">
      <alignment horizontal="right" vertical="center"/>
    </xf>
    <xf numFmtId="0" fontId="5" fillId="61" borderId="94" applyNumberFormat="0" applyProtection="0">
      <alignment horizontal="left" vertical="center" indent="1"/>
    </xf>
    <xf numFmtId="0" fontId="5" fillId="44" borderId="94" applyNumberFormat="0" applyProtection="0">
      <alignment horizontal="left" vertical="center" indent="1"/>
    </xf>
    <xf numFmtId="0" fontId="5" fillId="62" borderId="94" applyNumberFormat="0" applyProtection="0">
      <alignment horizontal="left" vertical="center" indent="1"/>
    </xf>
    <xf numFmtId="4" fontId="112" fillId="63" borderId="94" applyNumberFormat="0" applyProtection="0">
      <alignment horizontal="right" vertical="center"/>
    </xf>
    <xf numFmtId="4" fontId="5" fillId="50" borderId="94" applyNumberFormat="0" applyProtection="0">
      <alignment horizontal="left" vertical="center" indent="1"/>
    </xf>
    <xf numFmtId="4" fontId="5" fillId="0" borderId="94" applyNumberFormat="0" applyProtection="0">
      <alignment horizontal="right" vertical="center"/>
    </xf>
    <xf numFmtId="0" fontId="5" fillId="34" borderId="94" applyNumberFormat="0" applyProtection="0">
      <alignment horizontal="left" vertical="center" indent="1"/>
    </xf>
    <xf numFmtId="0" fontId="5" fillId="59" borderId="95" applyNumberFormat="0" applyProtection="0">
      <alignment horizontal="left" vertical="top" indent="1"/>
    </xf>
    <xf numFmtId="4" fontId="38" fillId="30" borderId="93" applyNumberFormat="0" applyProtection="0">
      <alignment horizontal="left" vertical="center" indent="1"/>
    </xf>
    <xf numFmtId="4" fontId="112" fillId="63" borderId="94" applyNumberFormat="0" applyProtection="0">
      <alignment horizontal="right" vertical="center"/>
    </xf>
    <xf numFmtId="0" fontId="5" fillId="62" borderId="94" applyNumberFormat="0" applyProtection="0">
      <alignment horizontal="left" vertical="center" indent="1"/>
    </xf>
    <xf numFmtId="0" fontId="5" fillId="44" borderId="94" applyNumberFormat="0" applyProtection="0">
      <alignment horizontal="left" vertical="center" indent="1"/>
    </xf>
    <xf numFmtId="0" fontId="5" fillId="61" borderId="94" applyNumberFormat="0" applyProtection="0">
      <alignment horizontal="left" vertical="center" indent="1"/>
    </xf>
    <xf numFmtId="4" fontId="5" fillId="59" borderId="94" applyNumberFormat="0" applyProtection="0">
      <alignment horizontal="right" vertical="center"/>
    </xf>
    <xf numFmtId="0" fontId="94" fillId="58" borderId="90" applyNumberFormat="0" applyFont="0" applyAlignment="0" applyProtection="0"/>
    <xf numFmtId="0" fontId="5" fillId="44" borderId="95" applyNumberFormat="0" applyProtection="0">
      <alignment horizontal="left" vertical="top" indent="1"/>
    </xf>
    <xf numFmtId="0" fontId="5" fillId="60" borderId="95" applyNumberFormat="0" applyProtection="0">
      <alignment horizontal="left" vertical="top" indent="1"/>
    </xf>
    <xf numFmtId="4" fontId="38" fillId="28" borderId="98" applyNumberFormat="0" applyProtection="0">
      <alignment horizontal="right" vertical="center"/>
    </xf>
    <xf numFmtId="0" fontId="94" fillId="58" borderId="90" applyNumberFormat="0" applyFont="0" applyAlignment="0" applyProtection="0"/>
    <xf numFmtId="4" fontId="38" fillId="27" borderId="98" applyNumberFormat="0" applyProtection="0">
      <alignment horizontal="right" vertical="center"/>
    </xf>
    <xf numFmtId="4" fontId="38" fillId="24" borderId="98" applyNumberFormat="0" applyProtection="0">
      <alignment horizontal="right" vertical="center"/>
    </xf>
    <xf numFmtId="4" fontId="65" fillId="29" borderId="98" applyNumberFormat="0" applyProtection="0">
      <alignment horizontal="left" vertical="center" indent="1"/>
    </xf>
    <xf numFmtId="4" fontId="5" fillId="0" borderId="94" applyNumberFormat="0" applyProtection="0">
      <alignment horizontal="right" vertical="center"/>
    </xf>
    <xf numFmtId="4" fontId="111" fillId="15" borderId="94" applyNumberFormat="0" applyProtection="0">
      <alignment horizontal="right" vertical="center"/>
    </xf>
    <xf numFmtId="4" fontId="5" fillId="50" borderId="94" applyNumberFormat="0" applyProtection="0">
      <alignment horizontal="left" vertical="center" indent="1"/>
    </xf>
    <xf numFmtId="0" fontId="5" fillId="60" borderId="95" applyNumberFormat="0" applyProtection="0">
      <alignment horizontal="left" vertical="top" indent="1"/>
    </xf>
    <xf numFmtId="0" fontId="5" fillId="59" borderId="95" applyNumberFormat="0" applyProtection="0">
      <alignment horizontal="left" vertical="top" indent="1"/>
    </xf>
    <xf numFmtId="0" fontId="5" fillId="44" borderId="95" applyNumberFormat="0" applyProtection="0">
      <alignment horizontal="left" vertical="top" indent="1"/>
    </xf>
    <xf numFmtId="0" fontId="5" fillId="34" borderId="94" applyNumberFormat="0" applyProtection="0">
      <alignment horizontal="left" vertical="center" indent="1"/>
    </xf>
    <xf numFmtId="4" fontId="5" fillId="59" borderId="94" applyNumberFormat="0" applyProtection="0">
      <alignment horizontal="right" vertical="center"/>
    </xf>
    <xf numFmtId="4" fontId="5" fillId="0" borderId="94" applyNumberFormat="0" applyProtection="0">
      <alignment horizontal="right" vertical="center"/>
    </xf>
    <xf numFmtId="4" fontId="111" fillId="15" borderId="94" applyNumberFormat="0" applyProtection="0">
      <alignment horizontal="right" vertical="center"/>
    </xf>
    <xf numFmtId="0" fontId="5" fillId="61" borderId="94" applyNumberFormat="0" applyProtection="0">
      <alignment horizontal="left" vertical="center" indent="1"/>
    </xf>
    <xf numFmtId="0" fontId="5" fillId="44" borderId="94" applyNumberFormat="0" applyProtection="0">
      <alignment horizontal="left" vertical="center" indent="1"/>
    </xf>
    <xf numFmtId="0" fontId="5" fillId="62" borderId="94" applyNumberFormat="0" applyProtection="0">
      <alignment horizontal="left" vertical="center" indent="1"/>
    </xf>
    <xf numFmtId="4" fontId="112" fillId="63" borderId="94" applyNumberFormat="0" applyProtection="0">
      <alignment horizontal="right" vertical="center"/>
    </xf>
    <xf numFmtId="4" fontId="5" fillId="50" borderId="94" applyNumberFormat="0" applyProtection="0">
      <alignment horizontal="left" vertical="center" indent="1"/>
    </xf>
    <xf numFmtId="4" fontId="5" fillId="0" borderId="94" applyNumberFormat="0" applyProtection="0">
      <alignment horizontal="right" vertical="center"/>
    </xf>
    <xf numFmtId="0" fontId="5" fillId="34" borderId="94" applyNumberFormat="0" applyProtection="0">
      <alignment horizontal="left" vertical="center" indent="1"/>
    </xf>
    <xf numFmtId="0" fontId="5" fillId="59" borderId="95" applyNumberFormat="0" applyProtection="0">
      <alignment horizontal="left" vertical="top" indent="1"/>
    </xf>
    <xf numFmtId="4" fontId="112" fillId="63" borderId="94" applyNumberFormat="0" applyProtection="0">
      <alignment horizontal="right" vertical="center"/>
    </xf>
    <xf numFmtId="0" fontId="5" fillId="62" borderId="94" applyNumberFormat="0" applyProtection="0">
      <alignment horizontal="left" vertical="center" indent="1"/>
    </xf>
    <xf numFmtId="0" fontId="5" fillId="44" borderId="94" applyNumberFormat="0" applyProtection="0">
      <alignment horizontal="left" vertical="center" indent="1"/>
    </xf>
    <xf numFmtId="0" fontId="5" fillId="61" borderId="94" applyNumberFormat="0" applyProtection="0">
      <alignment horizontal="left" vertical="center" indent="1"/>
    </xf>
    <xf numFmtId="4" fontId="5" fillId="59" borderId="94" applyNumberFormat="0" applyProtection="0">
      <alignment horizontal="right" vertical="center"/>
    </xf>
    <xf numFmtId="0" fontId="94" fillId="58" borderId="97" applyNumberFormat="0" applyFont="0" applyAlignment="0" applyProtection="0"/>
    <xf numFmtId="0" fontId="5" fillId="44" borderId="95" applyNumberFormat="0" applyProtection="0">
      <alignment horizontal="left" vertical="top" indent="1"/>
    </xf>
    <xf numFmtId="0" fontId="5" fillId="60" borderId="95" applyNumberFormat="0" applyProtection="0">
      <alignment horizontal="left" vertical="top" indent="1"/>
    </xf>
    <xf numFmtId="0" fontId="94" fillId="58" borderId="97" applyNumberFormat="0" applyFont="0" applyAlignment="0" applyProtection="0"/>
    <xf numFmtId="0" fontId="1" fillId="58" borderId="97" applyNumberFormat="0" applyFont="0" applyAlignment="0" applyProtection="0"/>
    <xf numFmtId="0" fontId="107" fillId="34" borderId="98" applyNumberFormat="0" applyAlignment="0" applyProtection="0"/>
    <xf numFmtId="9" fontId="1" fillId="0" borderId="0" applyFont="0" applyFill="0" applyBorder="0" applyAlignment="0" applyProtection="0"/>
    <xf numFmtId="187" fontId="50" fillId="0" borderId="101"/>
    <xf numFmtId="9" fontId="1" fillId="0" borderId="0" applyFont="0" applyFill="0" applyBorder="0" applyAlignment="0" applyProtection="0"/>
    <xf numFmtId="0" fontId="109" fillId="0" borderId="99" applyNumberFormat="0" applyFill="0" applyAlignment="0" applyProtection="0"/>
    <xf numFmtId="9" fontId="43" fillId="0" borderId="0" applyFont="0" applyFill="0" applyBorder="0" applyAlignment="0" applyProtection="0"/>
    <xf numFmtId="4" fontId="5" fillId="0" borderId="94" applyNumberFormat="0" applyProtection="0">
      <alignment horizontal="right" vertical="center"/>
    </xf>
    <xf numFmtId="4" fontId="111" fillId="15" borderId="94" applyNumberFormat="0" applyProtection="0">
      <alignment horizontal="right" vertical="center"/>
    </xf>
    <xf numFmtId="0" fontId="18" fillId="0" borderId="0"/>
    <xf numFmtId="4" fontId="5" fillId="50" borderId="94" applyNumberFormat="0" applyProtection="0">
      <alignment horizontal="left" vertical="center" indent="1"/>
    </xf>
    <xf numFmtId="0" fontId="5" fillId="60" borderId="95" applyNumberFormat="0" applyProtection="0">
      <alignment horizontal="left" vertical="top" indent="1"/>
    </xf>
    <xf numFmtId="0" fontId="5" fillId="59" borderId="95" applyNumberFormat="0" applyProtection="0">
      <alignment horizontal="left" vertical="top" indent="1"/>
    </xf>
    <xf numFmtId="0" fontId="5" fillId="44" borderId="95" applyNumberFormat="0" applyProtection="0">
      <alignment horizontal="left" vertical="top" indent="1"/>
    </xf>
    <xf numFmtId="0" fontId="5" fillId="34" borderId="94" applyNumberFormat="0" applyProtection="0">
      <alignment horizontal="left" vertical="center" indent="1"/>
    </xf>
    <xf numFmtId="4" fontId="5" fillId="59" borderId="94" applyNumberFormat="0" applyProtection="0">
      <alignment horizontal="right" vertical="center"/>
    </xf>
    <xf numFmtId="4" fontId="5" fillId="0" borderId="94" applyNumberFormat="0" applyProtection="0">
      <alignment horizontal="right" vertical="center"/>
    </xf>
    <xf numFmtId="4" fontId="111" fillId="15" borderId="94" applyNumberFormat="0" applyProtection="0">
      <alignment horizontal="right" vertical="center"/>
    </xf>
    <xf numFmtId="0" fontId="5" fillId="61" borderId="94" applyNumberFormat="0" applyProtection="0">
      <alignment horizontal="left" vertical="center" indent="1"/>
    </xf>
    <xf numFmtId="0" fontId="5" fillId="44" borderId="94" applyNumberFormat="0" applyProtection="0">
      <alignment horizontal="left" vertical="center" indent="1"/>
    </xf>
    <xf numFmtId="0" fontId="5" fillId="62" borderId="94" applyNumberFormat="0" applyProtection="0">
      <alignment horizontal="left" vertical="center" indent="1"/>
    </xf>
    <xf numFmtId="4" fontId="112" fillId="63" borderId="94" applyNumberFormat="0" applyProtection="0">
      <alignment horizontal="right" vertical="center"/>
    </xf>
    <xf numFmtId="4" fontId="5" fillId="50" borderId="94" applyNumberFormat="0" applyProtection="0">
      <alignment horizontal="left" vertical="center" indent="1"/>
    </xf>
    <xf numFmtId="4" fontId="5" fillId="0" borderId="94" applyNumberFormat="0" applyProtection="0">
      <alignment horizontal="right" vertical="center"/>
    </xf>
    <xf numFmtId="0" fontId="5" fillId="34" borderId="94" applyNumberFormat="0" applyProtection="0">
      <alignment horizontal="left" vertical="center" indent="1"/>
    </xf>
    <xf numFmtId="0" fontId="5" fillId="59" borderId="95" applyNumberFormat="0" applyProtection="0">
      <alignment horizontal="left" vertical="top" indent="1"/>
    </xf>
    <xf numFmtId="43" fontId="1" fillId="0" borderId="0" applyFont="0" applyFill="0" applyBorder="0" applyAlignment="0" applyProtection="0"/>
    <xf numFmtId="43" fontId="1" fillId="0" borderId="0" applyFont="0" applyFill="0" applyBorder="0" applyAlignment="0" applyProtection="0"/>
    <xf numFmtId="9" fontId="43" fillId="0" borderId="0" applyFont="0" applyFill="0" applyBorder="0" applyAlignment="0" applyProtection="0"/>
    <xf numFmtId="4" fontId="112" fillId="63" borderId="94" applyNumberFormat="0" applyProtection="0">
      <alignment horizontal="right" vertical="center"/>
    </xf>
    <xf numFmtId="0" fontId="5" fillId="62" borderId="94" applyNumberFormat="0" applyProtection="0">
      <alignment horizontal="left" vertical="center" indent="1"/>
    </xf>
    <xf numFmtId="0" fontId="5" fillId="44" borderId="94" applyNumberFormat="0" applyProtection="0">
      <alignment horizontal="left" vertical="center" indent="1"/>
    </xf>
    <xf numFmtId="0" fontId="5" fillId="61" borderId="94" applyNumberFormat="0" applyProtection="0">
      <alignment horizontal="left" vertical="center" indent="1"/>
    </xf>
    <xf numFmtId="0" fontId="1" fillId="19" borderId="98" applyNumberFormat="0" applyProtection="0">
      <alignment horizontal="left" vertical="center" indent="1"/>
    </xf>
    <xf numFmtId="4" fontId="5" fillId="59" borderId="94" applyNumberFormat="0" applyProtection="0">
      <alignment horizontal="right" vertical="center"/>
    </xf>
    <xf numFmtId="0" fontId="94" fillId="58" borderId="97" applyNumberFormat="0" applyFont="0" applyAlignment="0" applyProtection="0"/>
    <xf numFmtId="0" fontId="5" fillId="44" borderId="95" applyNumberFormat="0" applyProtection="0">
      <alignment horizontal="left" vertical="top" indent="1"/>
    </xf>
    <xf numFmtId="0" fontId="5" fillId="60" borderId="95" applyNumberFormat="0" applyProtection="0">
      <alignment horizontal="left" vertical="top" indent="1"/>
    </xf>
    <xf numFmtId="43" fontId="19" fillId="0" borderId="0" applyFont="0" applyFill="0" applyBorder="0" applyAlignment="0" applyProtection="0"/>
    <xf numFmtId="5" fontId="36" fillId="0" borderId="118" applyAlignment="0" applyProtection="0"/>
    <xf numFmtId="0" fontId="1" fillId="19" borderId="98" applyNumberFormat="0" applyProtection="0">
      <alignment horizontal="left" vertical="center" indent="1"/>
    </xf>
    <xf numFmtId="0" fontId="94" fillId="58" borderId="97"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0" fontId="97" fillId="34" borderId="102" applyNumberFormat="0" applyAlignment="0" applyProtection="0"/>
    <xf numFmtId="200" fontId="1" fillId="0" borderId="0" applyFont="0" applyFill="0" applyBorder="0" applyAlignment="0" applyProtection="0"/>
    <xf numFmtId="43" fontId="94" fillId="0" borderId="0" applyFont="0" applyFill="0" applyBorder="0" applyAlignment="0" applyProtection="0"/>
    <xf numFmtId="43" fontId="1" fillId="0" borderId="0" applyFont="0" applyFill="0" applyBorder="0" applyAlignment="0" applyProtection="0"/>
    <xf numFmtId="0" fontId="11" fillId="0" borderId="0"/>
    <xf numFmtId="4" fontId="38" fillId="18" borderId="98" applyNumberFormat="0" applyProtection="0">
      <alignment horizontal="left" vertical="center" indent="1"/>
    </xf>
    <xf numFmtId="4" fontId="38" fillId="3" borderId="98" applyNumberFormat="0" applyProtection="0">
      <alignment horizontal="left" vertical="center" indent="1"/>
    </xf>
    <xf numFmtId="0" fontId="1" fillId="33" borderId="98" applyNumberFormat="0" applyProtection="0">
      <alignment horizontal="left" vertical="center" indent="1"/>
    </xf>
    <xf numFmtId="4" fontId="68" fillId="30" borderId="98" applyNumberFormat="0" applyProtection="0">
      <alignment horizontal="right" vertical="center"/>
    </xf>
    <xf numFmtId="0" fontId="1" fillId="19" borderId="98" applyNumberFormat="0" applyProtection="0">
      <alignment horizontal="left" vertical="center" indent="1"/>
    </xf>
    <xf numFmtId="0" fontId="1" fillId="19" borderId="98" applyNumberFormat="0" applyProtection="0">
      <alignment horizontal="left" vertical="center" indent="1"/>
    </xf>
    <xf numFmtId="4" fontId="64" fillId="30" borderId="98" applyNumberFormat="0" applyProtection="0">
      <alignment horizontal="right" vertical="center"/>
    </xf>
    <xf numFmtId="4" fontId="38" fillId="30" borderId="98" applyNumberFormat="0" applyProtection="0">
      <alignment horizontal="right" vertical="center"/>
    </xf>
    <xf numFmtId="4" fontId="38" fillId="3" borderId="98" applyNumberFormat="0" applyProtection="0">
      <alignment horizontal="left" vertical="center" indent="1"/>
    </xf>
    <xf numFmtId="4" fontId="64" fillId="3" borderId="98" applyNumberFormat="0" applyProtection="0">
      <alignment vertical="center"/>
    </xf>
    <xf numFmtId="4" fontId="38" fillId="3" borderId="98" applyNumberFormat="0" applyProtection="0">
      <alignment vertical="center"/>
    </xf>
    <xf numFmtId="0" fontId="1" fillId="19" borderId="98" applyNumberFormat="0" applyProtection="0">
      <alignment horizontal="left" vertical="center" indent="1"/>
    </xf>
    <xf numFmtId="0" fontId="1" fillId="19" borderId="98" applyNumberFormat="0" applyProtection="0">
      <alignment horizontal="left" vertical="center" indent="1"/>
    </xf>
    <xf numFmtId="0" fontId="1" fillId="2" borderId="98" applyNumberFormat="0" applyProtection="0">
      <alignment horizontal="left" vertical="center" indent="1"/>
    </xf>
    <xf numFmtId="0" fontId="1" fillId="2" borderId="98" applyNumberFormat="0" applyProtection="0">
      <alignment horizontal="left" vertical="center" indent="1"/>
    </xf>
    <xf numFmtId="0" fontId="1" fillId="33" borderId="98" applyNumberFormat="0" applyProtection="0">
      <alignment horizontal="left" vertical="center" indent="1"/>
    </xf>
    <xf numFmtId="0" fontId="1" fillId="33" borderId="98" applyNumberFormat="0" applyProtection="0">
      <alignment horizontal="left" vertical="center" indent="1"/>
    </xf>
    <xf numFmtId="0" fontId="1" fillId="32" borderId="98" applyNumberFormat="0" applyProtection="0">
      <alignment horizontal="left" vertical="center" indent="1"/>
    </xf>
    <xf numFmtId="0" fontId="1" fillId="32" borderId="98" applyNumberFormat="0" applyProtection="0">
      <alignment horizontal="left" vertical="center" indent="1"/>
    </xf>
    <xf numFmtId="4" fontId="38" fillId="32" borderId="98" applyNumberFormat="0" applyProtection="0">
      <alignment horizontal="left" vertical="center" indent="1"/>
    </xf>
    <xf numFmtId="4" fontId="38" fillId="30" borderId="98" applyNumberFormat="0" applyProtection="0">
      <alignment horizontal="left" vertical="center" indent="1"/>
    </xf>
    <xf numFmtId="0" fontId="1" fillId="19" borderId="98" applyNumberFormat="0" applyProtection="0">
      <alignment horizontal="left" vertical="center" indent="1"/>
    </xf>
    <xf numFmtId="4" fontId="38" fillId="30" borderId="93" applyNumberFormat="0" applyProtection="0">
      <alignment horizontal="left" vertical="center" indent="1"/>
    </xf>
    <xf numFmtId="4" fontId="65" fillId="29" borderId="98" applyNumberFormat="0" applyProtection="0">
      <alignment horizontal="left" vertical="center" indent="1"/>
    </xf>
    <xf numFmtId="4" fontId="38" fillId="23" borderId="98" applyNumberFormat="0" applyProtection="0">
      <alignment horizontal="right" vertical="center"/>
    </xf>
    <xf numFmtId="0" fontId="1" fillId="19" borderId="98" applyNumberFormat="0" applyProtection="0">
      <alignment horizontal="left" vertical="center" indent="1"/>
    </xf>
    <xf numFmtId="4" fontId="38" fillId="18" borderId="98" applyNumberFormat="0" applyProtection="0">
      <alignment horizontal="left" vertical="center" indent="1"/>
    </xf>
    <xf numFmtId="4" fontId="38" fillId="18" borderId="98" applyNumberFormat="0" applyProtection="0">
      <alignment horizontal="left" vertical="center" indent="1"/>
    </xf>
    <xf numFmtId="4" fontId="64" fillId="18" borderId="98" applyNumberFormat="0" applyProtection="0">
      <alignment vertical="center"/>
    </xf>
    <xf numFmtId="4" fontId="38" fillId="18" borderId="98" applyNumberFormat="0" applyProtection="0">
      <alignment vertical="center"/>
    </xf>
    <xf numFmtId="0" fontId="109" fillId="0" borderId="99" applyNumberFormat="0" applyFill="0" applyAlignment="0" applyProtection="0"/>
    <xf numFmtId="0" fontId="107" fillId="34" borderId="98" applyNumberFormat="0" applyAlignment="0" applyProtection="0"/>
    <xf numFmtId="4" fontId="38" fillId="28" borderId="98" applyNumberFormat="0" applyProtection="0">
      <alignment horizontal="right" vertical="center"/>
    </xf>
    <xf numFmtId="0" fontId="97" fillId="34" borderId="102" applyNumberFormat="0" applyAlignment="0" applyProtection="0"/>
    <xf numFmtId="0" fontId="1" fillId="32" borderId="98" applyNumberFormat="0" applyProtection="0">
      <alignment horizontal="left" vertical="center" indent="1"/>
    </xf>
    <xf numFmtId="4" fontId="38" fillId="24" borderId="98" applyNumberFormat="0" applyProtection="0">
      <alignment horizontal="right" vertical="center"/>
    </xf>
    <xf numFmtId="0" fontId="104" fillId="43" borderId="102" applyNumberFormat="0" applyAlignment="0" applyProtection="0"/>
    <xf numFmtId="4" fontId="38" fillId="26" borderId="98" applyNumberFormat="0" applyProtection="0">
      <alignment horizontal="right" vertical="center"/>
    </xf>
    <xf numFmtId="4" fontId="38" fillId="26" borderId="98" applyNumberFormat="0" applyProtection="0">
      <alignment horizontal="right" vertical="center"/>
    </xf>
    <xf numFmtId="0" fontId="1" fillId="58" borderId="90" applyNumberFormat="0" applyFont="0" applyAlignment="0" applyProtection="0"/>
    <xf numFmtId="4" fontId="38" fillId="27" borderId="98" applyNumberFormat="0" applyProtection="0">
      <alignment horizontal="right" vertical="center"/>
    </xf>
    <xf numFmtId="4" fontId="38" fillId="25" borderId="98" applyNumberFormat="0" applyProtection="0">
      <alignment horizontal="right" vertical="center"/>
    </xf>
    <xf numFmtId="4" fontId="38" fillId="22" borderId="98" applyNumberFormat="0" applyProtection="0">
      <alignment horizontal="right" vertical="center"/>
    </xf>
    <xf numFmtId="0" fontId="1" fillId="19" borderId="98" applyNumberFormat="0" applyProtection="0">
      <alignment horizontal="left" vertical="center" indent="1"/>
    </xf>
    <xf numFmtId="0" fontId="1" fillId="58" borderId="90" applyNumberFormat="0" applyFont="0" applyAlignment="0" applyProtection="0"/>
    <xf numFmtId="5" fontId="55" fillId="0" borderId="103">
      <alignment horizontal="left" vertical="top"/>
    </xf>
    <xf numFmtId="0" fontId="1" fillId="19" borderId="98" applyNumberFormat="0" applyProtection="0">
      <alignment horizontal="left" vertical="center" indent="1"/>
    </xf>
    <xf numFmtId="4" fontId="38" fillId="32" borderId="98" applyNumberFormat="0" applyProtection="0">
      <alignment horizontal="left" vertical="center" indent="1"/>
    </xf>
    <xf numFmtId="0" fontId="1" fillId="32" borderId="98" applyNumberFormat="0" applyProtection="0">
      <alignment horizontal="left" vertical="center" indent="1"/>
    </xf>
    <xf numFmtId="0" fontId="1" fillId="2" borderId="98" applyNumberFormat="0" applyProtection="0">
      <alignment horizontal="left" vertical="center" indent="1"/>
    </xf>
    <xf numFmtId="4" fontId="38" fillId="3" borderId="98" applyNumberFormat="0" applyProtection="0">
      <alignment horizontal="left" vertical="center" indent="1"/>
    </xf>
    <xf numFmtId="0" fontId="107" fillId="34" borderId="98" applyNumberFormat="0" applyAlignment="0" applyProtection="0"/>
    <xf numFmtId="0" fontId="109" fillId="0" borderId="99" applyNumberFormat="0" applyFill="0" applyAlignment="0" applyProtection="0"/>
    <xf numFmtId="4" fontId="5" fillId="59" borderId="105" applyNumberFormat="0" applyProtection="0">
      <alignment horizontal="right" vertical="center"/>
    </xf>
    <xf numFmtId="0" fontId="5" fillId="34" borderId="105" applyNumberFormat="0" applyProtection="0">
      <alignment horizontal="left" vertical="center" indent="1"/>
    </xf>
    <xf numFmtId="0" fontId="5" fillId="44" borderId="95" applyNumberFormat="0" applyProtection="0">
      <alignment horizontal="left" vertical="top" indent="1"/>
    </xf>
    <xf numFmtId="0" fontId="5" fillId="59" borderId="95" applyNumberFormat="0" applyProtection="0">
      <alignment horizontal="left" vertical="top" indent="1"/>
    </xf>
    <xf numFmtId="0" fontId="5" fillId="60" borderId="95" applyNumberFormat="0" applyProtection="0">
      <alignment horizontal="left" vertical="top" indent="1"/>
    </xf>
    <xf numFmtId="4" fontId="5" fillId="50" borderId="105" applyNumberFormat="0" applyProtection="0">
      <alignment horizontal="left" vertical="center" indent="1"/>
    </xf>
    <xf numFmtId="4" fontId="111" fillId="15" borderId="105" applyNumberFormat="0" applyProtection="0">
      <alignment horizontal="right" vertical="center"/>
    </xf>
    <xf numFmtId="4" fontId="5" fillId="0" borderId="105" applyNumberFormat="0" applyProtection="0">
      <alignment horizontal="right" vertical="center"/>
    </xf>
    <xf numFmtId="4" fontId="38" fillId="25" borderId="98" applyNumberFormat="0" applyProtection="0">
      <alignment horizontal="right" vertical="center"/>
    </xf>
    <xf numFmtId="6" fontId="79" fillId="36" borderId="103"/>
    <xf numFmtId="5" fontId="77" fillId="30" borderId="103">
      <alignment vertical="top"/>
    </xf>
    <xf numFmtId="0" fontId="2" fillId="0" borderId="88">
      <alignment horizontal="left" vertical="center"/>
    </xf>
    <xf numFmtId="0" fontId="1" fillId="33" borderId="98" applyNumberFormat="0" applyProtection="0">
      <alignment horizontal="left" vertical="center" indent="1"/>
    </xf>
    <xf numFmtId="0" fontId="1" fillId="2" borderId="98" applyNumberFormat="0" applyProtection="0">
      <alignment horizontal="left" vertical="center" indent="1"/>
    </xf>
    <xf numFmtId="0" fontId="1" fillId="19" borderId="98" applyNumberFormat="0" applyProtection="0">
      <alignment horizontal="left" vertical="center" indent="1"/>
    </xf>
    <xf numFmtId="0" fontId="1" fillId="19" borderId="98" applyNumberFormat="0" applyProtection="0">
      <alignment horizontal="left" vertical="center" indent="1"/>
    </xf>
    <xf numFmtId="4" fontId="38" fillId="3" borderId="98" applyNumberFormat="0" applyProtection="0">
      <alignment vertical="center"/>
    </xf>
    <xf numFmtId="4" fontId="64" fillId="3" borderId="98" applyNumberFormat="0" applyProtection="0">
      <alignment vertical="center"/>
    </xf>
    <xf numFmtId="4" fontId="38" fillId="3" borderId="98" applyNumberFormat="0" applyProtection="0">
      <alignment horizontal="left" vertical="center" indent="1"/>
    </xf>
    <xf numFmtId="4" fontId="38" fillId="30" borderId="98" applyNumberFormat="0" applyProtection="0">
      <alignment horizontal="right" vertical="center"/>
    </xf>
    <xf numFmtId="4" fontId="64" fillId="30" borderId="98" applyNumberFormat="0" applyProtection="0">
      <alignment horizontal="right" vertical="center"/>
    </xf>
    <xf numFmtId="0" fontId="1" fillId="19" borderId="98" applyNumberFormat="0" applyProtection="0">
      <alignment horizontal="left" vertical="center" indent="1"/>
    </xf>
    <xf numFmtId="4" fontId="68" fillId="30" borderId="98" applyNumberFormat="0" applyProtection="0">
      <alignment horizontal="right" vertical="center"/>
    </xf>
    <xf numFmtId="0" fontId="1" fillId="2" borderId="98" applyNumberFormat="0" applyProtection="0">
      <alignment horizontal="left" vertical="center" indent="1"/>
    </xf>
    <xf numFmtId="4" fontId="38" fillId="18" borderId="98" applyNumberFormat="0" applyProtection="0">
      <alignment horizontal="left" vertical="center" indent="1"/>
    </xf>
    <xf numFmtId="0" fontId="1" fillId="19" borderId="98" applyNumberFormat="0" applyProtection="0">
      <alignment horizontal="left" vertical="center" indent="1"/>
    </xf>
    <xf numFmtId="4" fontId="38" fillId="20" borderId="98" applyNumberFormat="0" applyProtection="0">
      <alignment horizontal="right" vertical="center"/>
    </xf>
    <xf numFmtId="4" fontId="38" fillId="21" borderId="98" applyNumberFormat="0" applyProtection="0">
      <alignment horizontal="right" vertical="center"/>
    </xf>
    <xf numFmtId="4" fontId="38" fillId="22" borderId="98" applyNumberFormat="0" applyProtection="0">
      <alignment horizontal="right" vertical="center"/>
    </xf>
    <xf numFmtId="0" fontId="2" fillId="0" borderId="106">
      <alignment horizontal="left" vertical="center"/>
    </xf>
    <xf numFmtId="4" fontId="38" fillId="23" borderId="98" applyNumberFormat="0" applyProtection="0">
      <alignment horizontal="right" vertical="center"/>
    </xf>
    <xf numFmtId="4" fontId="38" fillId="30" borderId="98" applyNumberFormat="0" applyProtection="0">
      <alignment horizontal="left" vertical="center" indent="1"/>
    </xf>
    <xf numFmtId="4" fontId="38" fillId="18" borderId="98" applyNumberFormat="0" applyProtection="0">
      <alignment vertical="center"/>
    </xf>
    <xf numFmtId="4" fontId="64" fillId="18" borderId="98" applyNumberFormat="0" applyProtection="0">
      <alignment vertical="center"/>
    </xf>
    <xf numFmtId="4" fontId="38" fillId="18" borderId="98" applyNumberFormat="0" applyProtection="0">
      <alignment horizontal="left" vertical="center" indent="1"/>
    </xf>
    <xf numFmtId="4" fontId="5" fillId="0" borderId="104" applyNumberFormat="0" applyProtection="0">
      <alignment horizontal="right" vertical="center"/>
    </xf>
    <xf numFmtId="4" fontId="111" fillId="15" borderId="104" applyNumberFormat="0" applyProtection="0">
      <alignment horizontal="right" vertical="center"/>
    </xf>
    <xf numFmtId="4" fontId="5" fillId="50" borderId="104" applyNumberFormat="0" applyProtection="0">
      <alignment horizontal="left" vertical="center" indent="1"/>
    </xf>
    <xf numFmtId="0" fontId="5" fillId="60" borderId="73" applyNumberFormat="0" applyProtection="0">
      <alignment horizontal="left" vertical="top" indent="1"/>
    </xf>
    <xf numFmtId="0" fontId="5" fillId="59" borderId="73" applyNumberFormat="0" applyProtection="0">
      <alignment horizontal="left" vertical="top" indent="1"/>
    </xf>
    <xf numFmtId="0" fontId="5" fillId="44" borderId="73" applyNumberFormat="0" applyProtection="0">
      <alignment horizontal="left" vertical="top" indent="1"/>
    </xf>
    <xf numFmtId="0" fontId="5" fillId="34" borderId="104" applyNumberFormat="0" applyProtection="0">
      <alignment horizontal="left" vertical="center" indent="1"/>
    </xf>
    <xf numFmtId="4" fontId="5" fillId="59" borderId="104" applyNumberFormat="0" applyProtection="0">
      <alignment horizontal="right" vertical="center"/>
    </xf>
    <xf numFmtId="4" fontId="5" fillId="0" borderId="104" applyNumberFormat="0" applyProtection="0">
      <alignment horizontal="right" vertical="center"/>
    </xf>
    <xf numFmtId="4" fontId="111" fillId="15" borderId="104" applyNumberFormat="0" applyProtection="0">
      <alignment horizontal="right" vertical="center"/>
    </xf>
    <xf numFmtId="0" fontId="5" fillId="61" borderId="104" applyNumberFormat="0" applyProtection="0">
      <alignment horizontal="left" vertical="center" indent="1"/>
    </xf>
    <xf numFmtId="0" fontId="5" fillId="44" borderId="104" applyNumberFormat="0" applyProtection="0">
      <alignment horizontal="left" vertical="center" indent="1"/>
    </xf>
    <xf numFmtId="0" fontId="5" fillId="62" borderId="104" applyNumberFormat="0" applyProtection="0">
      <alignment horizontal="left" vertical="center" indent="1"/>
    </xf>
    <xf numFmtId="4" fontId="112" fillId="63" borderId="104" applyNumberFormat="0" applyProtection="0">
      <alignment horizontal="right" vertical="center"/>
    </xf>
    <xf numFmtId="4" fontId="5" fillId="50" borderId="104" applyNumberFormat="0" applyProtection="0">
      <alignment horizontal="left" vertical="center" indent="1"/>
    </xf>
    <xf numFmtId="4" fontId="5" fillId="0" borderId="104" applyNumberFormat="0" applyProtection="0">
      <alignment horizontal="right" vertical="center"/>
    </xf>
    <xf numFmtId="0" fontId="5" fillId="34" borderId="104" applyNumberFormat="0" applyProtection="0">
      <alignment horizontal="left" vertical="center" indent="1"/>
    </xf>
    <xf numFmtId="0" fontId="5" fillId="59" borderId="73" applyNumberFormat="0" applyProtection="0">
      <alignment horizontal="left" vertical="top" indent="1"/>
    </xf>
    <xf numFmtId="4" fontId="38" fillId="21" borderId="98" applyNumberFormat="0" applyProtection="0">
      <alignment horizontal="right" vertical="center"/>
    </xf>
    <xf numFmtId="4" fontId="112" fillId="63" borderId="104" applyNumberFormat="0" applyProtection="0">
      <alignment horizontal="right" vertical="center"/>
    </xf>
    <xf numFmtId="0" fontId="5" fillId="62" borderId="104" applyNumberFormat="0" applyProtection="0">
      <alignment horizontal="left" vertical="center" indent="1"/>
    </xf>
    <xf numFmtId="0" fontId="5" fillId="44" borderId="104" applyNumberFormat="0" applyProtection="0">
      <alignment horizontal="left" vertical="center" indent="1"/>
    </xf>
    <xf numFmtId="0" fontId="5" fillId="61" borderId="104" applyNumberFormat="0" applyProtection="0">
      <alignment horizontal="left" vertical="center" indent="1"/>
    </xf>
    <xf numFmtId="4" fontId="5" fillId="59" borderId="104" applyNumberFormat="0" applyProtection="0">
      <alignment horizontal="right" vertical="center"/>
    </xf>
    <xf numFmtId="0" fontId="5" fillId="44" borderId="73" applyNumberFormat="0" applyProtection="0">
      <alignment horizontal="left" vertical="top" indent="1"/>
    </xf>
    <xf numFmtId="0" fontId="5" fillId="60" borderId="73" applyNumberFormat="0" applyProtection="0">
      <alignment horizontal="left" vertical="top" indent="1"/>
    </xf>
    <xf numFmtId="4" fontId="38" fillId="20" borderId="98" applyNumberFormat="0" applyProtection="0">
      <alignment horizontal="right" vertical="center"/>
    </xf>
    <xf numFmtId="0" fontId="2" fillId="0" borderId="88">
      <alignment horizontal="left" vertical="center"/>
    </xf>
    <xf numFmtId="4" fontId="5" fillId="0" borderId="105" applyNumberFormat="0" applyProtection="0">
      <alignment horizontal="right" vertical="center"/>
    </xf>
    <xf numFmtId="4" fontId="111" fillId="15" borderId="105" applyNumberFormat="0" applyProtection="0">
      <alignment horizontal="right" vertical="center"/>
    </xf>
    <xf numFmtId="0" fontId="5" fillId="61" borderId="105" applyNumberFormat="0" applyProtection="0">
      <alignment horizontal="left" vertical="center" indent="1"/>
    </xf>
    <xf numFmtId="0" fontId="5" fillId="44" borderId="105" applyNumberFormat="0" applyProtection="0">
      <alignment horizontal="left" vertical="center" indent="1"/>
    </xf>
    <xf numFmtId="0" fontId="5" fillId="62" borderId="105" applyNumberFormat="0" applyProtection="0">
      <alignment horizontal="left" vertical="center" indent="1"/>
    </xf>
    <xf numFmtId="4" fontId="112" fillId="63" borderId="105" applyNumberFormat="0" applyProtection="0">
      <alignment horizontal="right" vertical="center"/>
    </xf>
    <xf numFmtId="4" fontId="5" fillId="50" borderId="105" applyNumberFormat="0" applyProtection="0">
      <alignment horizontal="left" vertical="center" indent="1"/>
    </xf>
    <xf numFmtId="4" fontId="5" fillId="0" borderId="105" applyNumberFormat="0" applyProtection="0">
      <alignment horizontal="right" vertical="center"/>
    </xf>
    <xf numFmtId="0" fontId="5" fillId="34" borderId="105" applyNumberFormat="0" applyProtection="0">
      <alignment horizontal="left" vertical="center" indent="1"/>
    </xf>
    <xf numFmtId="0" fontId="5" fillId="59" borderId="95" applyNumberFormat="0" applyProtection="0">
      <alignment horizontal="left" vertical="top" indent="1"/>
    </xf>
    <xf numFmtId="4" fontId="38" fillId="30" borderId="93" applyNumberFormat="0" applyProtection="0">
      <alignment horizontal="left" vertical="center" indent="1"/>
    </xf>
    <xf numFmtId="4" fontId="112" fillId="63" borderId="105" applyNumberFormat="0" applyProtection="0">
      <alignment horizontal="right" vertical="center"/>
    </xf>
    <xf numFmtId="0" fontId="5" fillId="62" borderId="105" applyNumberFormat="0" applyProtection="0">
      <alignment horizontal="left" vertical="center" indent="1"/>
    </xf>
    <xf numFmtId="0" fontId="5" fillId="44" borderId="105" applyNumberFormat="0" applyProtection="0">
      <alignment horizontal="left" vertical="center" indent="1"/>
    </xf>
    <xf numFmtId="0" fontId="5" fillId="61" borderId="105" applyNumberFormat="0" applyProtection="0">
      <alignment horizontal="left" vertical="center" indent="1"/>
    </xf>
    <xf numFmtId="4" fontId="5" fillId="59" borderId="105" applyNumberFormat="0" applyProtection="0">
      <alignment horizontal="right" vertical="center"/>
    </xf>
    <xf numFmtId="0" fontId="94" fillId="58" borderId="90" applyNumberFormat="0" applyFont="0" applyAlignment="0" applyProtection="0"/>
    <xf numFmtId="0" fontId="5" fillId="44" borderId="95" applyNumberFormat="0" applyProtection="0">
      <alignment horizontal="left" vertical="top" indent="1"/>
    </xf>
    <xf numFmtId="0" fontId="5" fillId="60" borderId="95" applyNumberFormat="0" applyProtection="0">
      <alignment horizontal="left" vertical="top" indent="1"/>
    </xf>
    <xf numFmtId="4" fontId="38" fillId="28" borderId="98" applyNumberFormat="0" applyProtection="0">
      <alignment horizontal="right" vertical="center"/>
    </xf>
    <xf numFmtId="0" fontId="94" fillId="58" borderId="90" applyNumberFormat="0" applyFont="0" applyAlignment="0" applyProtection="0"/>
    <xf numFmtId="4" fontId="38" fillId="27" borderId="98" applyNumberFormat="0" applyProtection="0">
      <alignment horizontal="right" vertical="center"/>
    </xf>
    <xf numFmtId="4" fontId="38" fillId="24" borderId="98" applyNumberFormat="0" applyProtection="0">
      <alignment horizontal="right" vertical="center"/>
    </xf>
    <xf numFmtId="4" fontId="65" fillId="29" borderId="98" applyNumberFormat="0" applyProtection="0">
      <alignment horizontal="left" vertical="center" indent="1"/>
    </xf>
    <xf numFmtId="4" fontId="5" fillId="0" borderId="105" applyNumberFormat="0" applyProtection="0">
      <alignment horizontal="right" vertical="center"/>
    </xf>
    <xf numFmtId="4" fontId="111" fillId="15" borderId="105" applyNumberFormat="0" applyProtection="0">
      <alignment horizontal="right" vertical="center"/>
    </xf>
    <xf numFmtId="4" fontId="5" fillId="50" borderId="105" applyNumberFormat="0" applyProtection="0">
      <alignment horizontal="left" vertical="center" indent="1"/>
    </xf>
    <xf numFmtId="0" fontId="5" fillId="60" borderId="95" applyNumberFormat="0" applyProtection="0">
      <alignment horizontal="left" vertical="top" indent="1"/>
    </xf>
    <xf numFmtId="0" fontId="5" fillId="59" borderId="95" applyNumberFormat="0" applyProtection="0">
      <alignment horizontal="left" vertical="top" indent="1"/>
    </xf>
    <xf numFmtId="0" fontId="5" fillId="44" borderId="95" applyNumberFormat="0" applyProtection="0">
      <alignment horizontal="left" vertical="top" indent="1"/>
    </xf>
    <xf numFmtId="0" fontId="5" fillId="34" borderId="105" applyNumberFormat="0" applyProtection="0">
      <alignment horizontal="left" vertical="center" indent="1"/>
    </xf>
    <xf numFmtId="4" fontId="5" fillId="59" borderId="105" applyNumberFormat="0" applyProtection="0">
      <alignment horizontal="right" vertical="center"/>
    </xf>
    <xf numFmtId="4" fontId="5" fillId="0" borderId="105" applyNumberFormat="0" applyProtection="0">
      <alignment horizontal="right" vertical="center"/>
    </xf>
    <xf numFmtId="4" fontId="111" fillId="15" borderId="105" applyNumberFormat="0" applyProtection="0">
      <alignment horizontal="right" vertical="center"/>
    </xf>
    <xf numFmtId="0" fontId="5" fillId="61" borderId="105" applyNumberFormat="0" applyProtection="0">
      <alignment horizontal="left" vertical="center" indent="1"/>
    </xf>
    <xf numFmtId="0" fontId="5" fillId="44" borderId="105" applyNumberFormat="0" applyProtection="0">
      <alignment horizontal="left" vertical="center" indent="1"/>
    </xf>
    <xf numFmtId="0" fontId="5" fillId="62" borderId="105" applyNumberFormat="0" applyProtection="0">
      <alignment horizontal="left" vertical="center" indent="1"/>
    </xf>
    <xf numFmtId="4" fontId="112" fillId="63" borderId="105" applyNumberFormat="0" applyProtection="0">
      <alignment horizontal="right" vertical="center"/>
    </xf>
    <xf numFmtId="4" fontId="5" fillId="50" borderId="105" applyNumberFormat="0" applyProtection="0">
      <alignment horizontal="left" vertical="center" indent="1"/>
    </xf>
    <xf numFmtId="4" fontId="5" fillId="0" borderId="105" applyNumberFormat="0" applyProtection="0">
      <alignment horizontal="right" vertical="center"/>
    </xf>
    <xf numFmtId="0" fontId="5" fillId="34" borderId="105" applyNumberFormat="0" applyProtection="0">
      <alignment horizontal="left" vertical="center" indent="1"/>
    </xf>
    <xf numFmtId="0" fontId="5" fillId="59" borderId="95" applyNumberFormat="0" applyProtection="0">
      <alignment horizontal="left" vertical="top" indent="1"/>
    </xf>
    <xf numFmtId="4" fontId="112" fillId="63" borderId="105" applyNumberFormat="0" applyProtection="0">
      <alignment horizontal="right" vertical="center"/>
    </xf>
    <xf numFmtId="0" fontId="5" fillId="62" borderId="105" applyNumberFormat="0" applyProtection="0">
      <alignment horizontal="left" vertical="center" indent="1"/>
    </xf>
    <xf numFmtId="0" fontId="5" fillId="44" borderId="105" applyNumberFormat="0" applyProtection="0">
      <alignment horizontal="left" vertical="center" indent="1"/>
    </xf>
    <xf numFmtId="0" fontId="5" fillId="61" borderId="105" applyNumberFormat="0" applyProtection="0">
      <alignment horizontal="left" vertical="center" indent="1"/>
    </xf>
    <xf numFmtId="4" fontId="5" fillId="59" borderId="105" applyNumberFormat="0" applyProtection="0">
      <alignment horizontal="right" vertical="center"/>
    </xf>
    <xf numFmtId="0" fontId="94" fillId="58" borderId="90" applyNumberFormat="0" applyFont="0" applyAlignment="0" applyProtection="0"/>
    <xf numFmtId="0" fontId="5" fillId="44" borderId="95" applyNumberFormat="0" applyProtection="0">
      <alignment horizontal="left" vertical="top" indent="1"/>
    </xf>
    <xf numFmtId="0" fontId="5" fillId="60" borderId="95" applyNumberFormat="0" applyProtection="0">
      <alignment horizontal="left" vertical="top" indent="1"/>
    </xf>
    <xf numFmtId="0" fontId="94" fillId="58" borderId="90" applyNumberFormat="0" applyFont="0" applyAlignment="0" applyProtection="0"/>
    <xf numFmtId="0" fontId="1" fillId="0" borderId="0"/>
    <xf numFmtId="0" fontId="1" fillId="58" borderId="90" applyNumberFormat="0" applyFont="0" applyAlignment="0" applyProtection="0"/>
    <xf numFmtId="0" fontId="107" fillId="34" borderId="98" applyNumberFormat="0" applyAlignment="0" applyProtection="0"/>
    <xf numFmtId="9" fontId="1" fillId="0" borderId="0" applyFont="0" applyFill="0" applyBorder="0" applyAlignment="0" applyProtection="0"/>
    <xf numFmtId="187" fontId="50" fillId="0" borderId="118"/>
    <xf numFmtId="9" fontId="1" fillId="0" borderId="0" applyFont="0" applyFill="0" applyBorder="0" applyAlignment="0" applyProtection="0"/>
    <xf numFmtId="0" fontId="109" fillId="0" borderId="99" applyNumberFormat="0" applyFill="0" applyAlignment="0" applyProtection="0"/>
    <xf numFmtId="9" fontId="43" fillId="0" borderId="0" applyFont="0" applyFill="0" applyBorder="0" applyAlignment="0" applyProtection="0"/>
    <xf numFmtId="4" fontId="5" fillId="0" borderId="105" applyNumberFormat="0" applyProtection="0">
      <alignment horizontal="right" vertical="center"/>
    </xf>
    <xf numFmtId="4" fontId="111" fillId="15" borderId="105" applyNumberFormat="0" applyProtection="0">
      <alignment horizontal="right" vertical="center"/>
    </xf>
    <xf numFmtId="4" fontId="5" fillId="50" borderId="105" applyNumberFormat="0" applyProtection="0">
      <alignment horizontal="left" vertical="center" indent="1"/>
    </xf>
    <xf numFmtId="0" fontId="5" fillId="60" borderId="95" applyNumberFormat="0" applyProtection="0">
      <alignment horizontal="left" vertical="top" indent="1"/>
    </xf>
    <xf numFmtId="0" fontId="5" fillId="59" borderId="95" applyNumberFormat="0" applyProtection="0">
      <alignment horizontal="left" vertical="top" indent="1"/>
    </xf>
    <xf numFmtId="0" fontId="5" fillId="44" borderId="95" applyNumberFormat="0" applyProtection="0">
      <alignment horizontal="left" vertical="top" indent="1"/>
    </xf>
    <xf numFmtId="0" fontId="5" fillId="34" borderId="105" applyNumberFormat="0" applyProtection="0">
      <alignment horizontal="left" vertical="center" indent="1"/>
    </xf>
    <xf numFmtId="4" fontId="5" fillId="59" borderId="105" applyNumberFormat="0" applyProtection="0">
      <alignment horizontal="right" vertical="center"/>
    </xf>
    <xf numFmtId="4" fontId="5" fillId="0" borderId="105" applyNumberFormat="0" applyProtection="0">
      <alignment horizontal="right" vertical="center"/>
    </xf>
    <xf numFmtId="4" fontId="111" fillId="15" borderId="105" applyNumberFormat="0" applyProtection="0">
      <alignment horizontal="right" vertical="center"/>
    </xf>
    <xf numFmtId="0" fontId="5" fillId="61" borderId="105" applyNumberFormat="0" applyProtection="0">
      <alignment horizontal="left" vertical="center" indent="1"/>
    </xf>
    <xf numFmtId="0" fontId="5" fillId="44" borderId="105" applyNumberFormat="0" applyProtection="0">
      <alignment horizontal="left" vertical="center" indent="1"/>
    </xf>
    <xf numFmtId="0" fontId="5" fillId="62" borderId="105" applyNumberFormat="0" applyProtection="0">
      <alignment horizontal="left" vertical="center" indent="1"/>
    </xf>
    <xf numFmtId="4" fontId="112" fillId="63" borderId="105" applyNumberFormat="0" applyProtection="0">
      <alignment horizontal="right" vertical="center"/>
    </xf>
    <xf numFmtId="4" fontId="5" fillId="50" borderId="105" applyNumberFormat="0" applyProtection="0">
      <alignment horizontal="left" vertical="center" indent="1"/>
    </xf>
    <xf numFmtId="4" fontId="5" fillId="0" borderId="105" applyNumberFormat="0" applyProtection="0">
      <alignment horizontal="right" vertical="center"/>
    </xf>
    <xf numFmtId="0" fontId="5" fillId="34" borderId="105" applyNumberFormat="0" applyProtection="0">
      <alignment horizontal="left" vertical="center" indent="1"/>
    </xf>
    <xf numFmtId="0" fontId="5" fillId="59" borderId="95" applyNumberFormat="0" applyProtection="0">
      <alignment horizontal="left" vertical="top" indent="1"/>
    </xf>
    <xf numFmtId="43" fontId="1" fillId="0" borderId="0" applyFont="0" applyFill="0" applyBorder="0" applyAlignment="0" applyProtection="0"/>
    <xf numFmtId="43" fontId="1" fillId="0" borderId="0" applyFont="0" applyFill="0" applyBorder="0" applyAlignment="0" applyProtection="0"/>
    <xf numFmtId="9" fontId="43" fillId="0" borderId="0" applyFont="0" applyFill="0" applyBorder="0" applyAlignment="0" applyProtection="0"/>
    <xf numFmtId="4" fontId="112" fillId="63" borderId="105" applyNumberFormat="0" applyProtection="0">
      <alignment horizontal="right" vertical="center"/>
    </xf>
    <xf numFmtId="0" fontId="5" fillId="62" borderId="105" applyNumberFormat="0" applyProtection="0">
      <alignment horizontal="left" vertical="center" indent="1"/>
    </xf>
    <xf numFmtId="0" fontId="5" fillId="44" borderId="105" applyNumberFormat="0" applyProtection="0">
      <alignment horizontal="left" vertical="center" indent="1"/>
    </xf>
    <xf numFmtId="0" fontId="5" fillId="61" borderId="105" applyNumberFormat="0" applyProtection="0">
      <alignment horizontal="left" vertical="center" indent="1"/>
    </xf>
    <xf numFmtId="0" fontId="1" fillId="19" borderId="98" applyNumberFormat="0" applyProtection="0">
      <alignment horizontal="left" vertical="center" indent="1"/>
    </xf>
    <xf numFmtId="4" fontId="5" fillId="59" borderId="105" applyNumberFormat="0" applyProtection="0">
      <alignment horizontal="right" vertical="center"/>
    </xf>
    <xf numFmtId="0" fontId="94" fillId="58" borderId="90" applyNumberFormat="0" applyFont="0" applyAlignment="0" applyProtection="0"/>
    <xf numFmtId="0" fontId="5" fillId="44" borderId="95" applyNumberFormat="0" applyProtection="0">
      <alignment horizontal="left" vertical="top" indent="1"/>
    </xf>
    <xf numFmtId="0" fontId="5" fillId="60" borderId="95" applyNumberFormat="0" applyProtection="0">
      <alignment horizontal="left" vertical="top" indent="1"/>
    </xf>
    <xf numFmtId="0" fontId="1" fillId="19" borderId="98" applyNumberFormat="0" applyProtection="0">
      <alignment horizontal="left" vertical="center" indent="1"/>
    </xf>
    <xf numFmtId="0" fontId="94" fillId="58" borderId="90"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200" fontId="1" fillId="0" borderId="0" applyFont="0" applyFill="0" applyBorder="0" applyAlignment="0" applyProtection="0"/>
    <xf numFmtId="43" fontId="94" fillId="0" borderId="0" applyFont="0" applyFill="0" applyBorder="0" applyAlignment="0" applyProtection="0"/>
    <xf numFmtId="43" fontId="1" fillId="0" borderId="0" applyFont="0" applyFill="0" applyBorder="0" applyAlignment="0" applyProtection="0"/>
    <xf numFmtId="0" fontId="11" fillId="0" borderId="0"/>
    <xf numFmtId="4" fontId="38" fillId="18" borderId="98" applyNumberFormat="0" applyProtection="0">
      <alignment horizontal="left" vertical="center" indent="1"/>
    </xf>
    <xf numFmtId="4" fontId="38" fillId="3" borderId="109" applyNumberFormat="0" applyProtection="0">
      <alignment horizontal="left" vertical="center" indent="1"/>
    </xf>
    <xf numFmtId="0" fontId="1" fillId="33" borderId="116" applyNumberFormat="0" applyProtection="0">
      <alignment horizontal="left" vertical="center" indent="1"/>
    </xf>
    <xf numFmtId="4" fontId="68" fillId="30" borderId="109" applyNumberFormat="0" applyProtection="0">
      <alignment horizontal="right" vertical="center"/>
    </xf>
    <xf numFmtId="0" fontId="1" fillId="19" borderId="109" applyNumberFormat="0" applyProtection="0">
      <alignment horizontal="left" vertical="center" indent="1"/>
    </xf>
    <xf numFmtId="0" fontId="1" fillId="19" borderId="109" applyNumberFormat="0" applyProtection="0">
      <alignment horizontal="left" vertical="center" indent="1"/>
    </xf>
    <xf numFmtId="4" fontId="64" fillId="30" borderId="109" applyNumberFormat="0" applyProtection="0">
      <alignment horizontal="right" vertical="center"/>
    </xf>
    <xf numFmtId="4" fontId="38" fillId="30" borderId="109" applyNumberFormat="0" applyProtection="0">
      <alignment horizontal="right" vertical="center"/>
    </xf>
    <xf numFmtId="4" fontId="38" fillId="3" borderId="109" applyNumberFormat="0" applyProtection="0">
      <alignment horizontal="left" vertical="center" indent="1"/>
    </xf>
    <xf numFmtId="4" fontId="64" fillId="3" borderId="109" applyNumberFormat="0" applyProtection="0">
      <alignment vertical="center"/>
    </xf>
    <xf numFmtId="4" fontId="38" fillId="3" borderId="109" applyNumberFormat="0" applyProtection="0">
      <alignment vertical="center"/>
    </xf>
    <xf numFmtId="0" fontId="1" fillId="19" borderId="109" applyNumberFormat="0" applyProtection="0">
      <alignment horizontal="left" vertical="center" indent="1"/>
    </xf>
    <xf numFmtId="0" fontId="1" fillId="19" borderId="109" applyNumberFormat="0" applyProtection="0">
      <alignment horizontal="left" vertical="center" indent="1"/>
    </xf>
    <xf numFmtId="0" fontId="1" fillId="2" borderId="109" applyNumberFormat="0" applyProtection="0">
      <alignment horizontal="left" vertical="center" indent="1"/>
    </xf>
    <xf numFmtId="0" fontId="1" fillId="2" borderId="109" applyNumberFormat="0" applyProtection="0">
      <alignment horizontal="left" vertical="center" indent="1"/>
    </xf>
    <xf numFmtId="0" fontId="1" fillId="33" borderId="109" applyNumberFormat="0" applyProtection="0">
      <alignment horizontal="left" vertical="center" indent="1"/>
    </xf>
    <xf numFmtId="0" fontId="1" fillId="33" borderId="109" applyNumberFormat="0" applyProtection="0">
      <alignment horizontal="left" vertical="center" indent="1"/>
    </xf>
    <xf numFmtId="0" fontId="1" fillId="32" borderId="109" applyNumberFormat="0" applyProtection="0">
      <alignment horizontal="left" vertical="center" indent="1"/>
    </xf>
    <xf numFmtId="0" fontId="1" fillId="32" borderId="109" applyNumberFormat="0" applyProtection="0">
      <alignment horizontal="left" vertical="center" indent="1"/>
    </xf>
    <xf numFmtId="4" fontId="38" fillId="32" borderId="109" applyNumberFormat="0" applyProtection="0">
      <alignment horizontal="left" vertical="center" indent="1"/>
    </xf>
    <xf numFmtId="4" fontId="38" fillId="30" borderId="109" applyNumberFormat="0" applyProtection="0">
      <alignment horizontal="left" vertical="center" indent="1"/>
    </xf>
    <xf numFmtId="0" fontId="1" fillId="19" borderId="109" applyNumberFormat="0" applyProtection="0">
      <alignment horizontal="left" vertical="center" indent="1"/>
    </xf>
    <xf numFmtId="4" fontId="38" fillId="30" borderId="111" applyNumberFormat="0" applyProtection="0">
      <alignment horizontal="left" vertical="center" indent="1"/>
    </xf>
    <xf numFmtId="4" fontId="65" fillId="29" borderId="109" applyNumberFormat="0" applyProtection="0">
      <alignment horizontal="left" vertical="center" indent="1"/>
    </xf>
    <xf numFmtId="4" fontId="38" fillId="23" borderId="109" applyNumberFormat="0" applyProtection="0">
      <alignment horizontal="right" vertical="center"/>
    </xf>
    <xf numFmtId="0" fontId="1" fillId="19" borderId="109" applyNumberFormat="0" applyProtection="0">
      <alignment horizontal="left" vertical="center" indent="1"/>
    </xf>
    <xf numFmtId="4" fontId="38" fillId="18" borderId="109" applyNumberFormat="0" applyProtection="0">
      <alignment horizontal="left" vertical="center" indent="1"/>
    </xf>
    <xf numFmtId="4" fontId="38" fillId="18" borderId="109" applyNumberFormat="0" applyProtection="0">
      <alignment horizontal="left" vertical="center" indent="1"/>
    </xf>
    <xf numFmtId="4" fontId="64" fillId="18" borderId="109" applyNumberFormat="0" applyProtection="0">
      <alignment vertical="center"/>
    </xf>
    <xf numFmtId="4" fontId="38" fillId="18" borderId="109" applyNumberFormat="0" applyProtection="0">
      <alignment vertical="center"/>
    </xf>
    <xf numFmtId="0" fontId="109" fillId="0" borderId="110" applyNumberFormat="0" applyFill="0" applyAlignment="0" applyProtection="0"/>
    <xf numFmtId="0" fontId="107" fillId="34" borderId="109" applyNumberFormat="0" applyAlignment="0" applyProtection="0"/>
    <xf numFmtId="4" fontId="38" fillId="28" borderId="109" applyNumberFormat="0" applyProtection="0">
      <alignment horizontal="right" vertical="center"/>
    </xf>
    <xf numFmtId="0" fontId="97" fillId="34" borderId="107" applyNumberFormat="0" applyAlignment="0" applyProtection="0"/>
    <xf numFmtId="0" fontId="1" fillId="32" borderId="116" applyNumberFormat="0" applyProtection="0">
      <alignment horizontal="left" vertical="center" indent="1"/>
    </xf>
    <xf numFmtId="4" fontId="38" fillId="24" borderId="109" applyNumberFormat="0" applyProtection="0">
      <alignment horizontal="right" vertical="center"/>
    </xf>
    <xf numFmtId="0" fontId="104" fillId="43" borderId="107" applyNumberFormat="0" applyAlignment="0" applyProtection="0"/>
    <xf numFmtId="4" fontId="38" fillId="26" borderId="116" applyNumberFormat="0" applyProtection="0">
      <alignment horizontal="right" vertical="center"/>
    </xf>
    <xf numFmtId="4" fontId="38" fillId="26" borderId="109" applyNumberFormat="0" applyProtection="0">
      <alignment horizontal="right" vertical="center"/>
    </xf>
    <xf numFmtId="0" fontId="1" fillId="58" borderId="108" applyNumberFormat="0" applyFont="0" applyAlignment="0" applyProtection="0"/>
    <xf numFmtId="4" fontId="38" fillId="27" borderId="109" applyNumberFormat="0" applyProtection="0">
      <alignment horizontal="right" vertical="center"/>
    </xf>
    <xf numFmtId="4" fontId="38" fillId="25" borderId="109" applyNumberFormat="0" applyProtection="0">
      <alignment horizontal="right" vertical="center"/>
    </xf>
    <xf numFmtId="4" fontId="38" fillId="22" borderId="109" applyNumberFormat="0" applyProtection="0">
      <alignment horizontal="right" vertical="center"/>
    </xf>
    <xf numFmtId="0" fontId="1" fillId="19" borderId="116" applyNumberFormat="0" applyProtection="0">
      <alignment horizontal="left" vertical="center" indent="1"/>
    </xf>
    <xf numFmtId="0" fontId="1" fillId="58" borderId="115" applyNumberFormat="0" applyFont="0" applyAlignment="0" applyProtection="0"/>
    <xf numFmtId="5" fontId="55" fillId="0" borderId="103">
      <alignment horizontal="left" vertical="top"/>
    </xf>
    <xf numFmtId="0" fontId="1" fillId="19" borderId="116" applyNumberFormat="0" applyProtection="0">
      <alignment horizontal="left" vertical="center" indent="1"/>
    </xf>
    <xf numFmtId="4" fontId="38" fillId="32" borderId="116" applyNumberFormat="0" applyProtection="0">
      <alignment horizontal="left" vertical="center" indent="1"/>
    </xf>
    <xf numFmtId="0" fontId="1" fillId="32" borderId="116" applyNumberFormat="0" applyProtection="0">
      <alignment horizontal="left" vertical="center" indent="1"/>
    </xf>
    <xf numFmtId="0" fontId="1" fillId="2" borderId="116" applyNumberFormat="0" applyProtection="0">
      <alignment horizontal="left" vertical="center" indent="1"/>
    </xf>
    <xf numFmtId="4" fontId="38" fillId="3" borderId="116" applyNumberFormat="0" applyProtection="0">
      <alignment horizontal="left" vertical="center" indent="1"/>
    </xf>
    <xf numFmtId="0" fontId="107" fillId="34" borderId="116" applyNumberFormat="0" applyAlignment="0" applyProtection="0"/>
    <xf numFmtId="0" fontId="109" fillId="0" borderId="117" applyNumberFormat="0" applyFill="0" applyAlignment="0" applyProtection="0"/>
    <xf numFmtId="4" fontId="5" fillId="59" borderId="112" applyNumberFormat="0" applyProtection="0">
      <alignment horizontal="right" vertical="center"/>
    </xf>
    <xf numFmtId="0" fontId="5" fillId="34" borderId="112" applyNumberFormat="0" applyProtection="0">
      <alignment horizontal="left" vertical="center" indent="1"/>
    </xf>
    <xf numFmtId="0" fontId="5" fillId="44" borderId="113" applyNumberFormat="0" applyProtection="0">
      <alignment horizontal="left" vertical="top" indent="1"/>
    </xf>
    <xf numFmtId="0" fontId="5" fillId="59" borderId="113" applyNumberFormat="0" applyProtection="0">
      <alignment horizontal="left" vertical="top" indent="1"/>
    </xf>
    <xf numFmtId="0" fontId="5" fillId="60" borderId="113" applyNumberFormat="0" applyProtection="0">
      <alignment horizontal="left" vertical="top" indent="1"/>
    </xf>
    <xf numFmtId="4" fontId="5" fillId="50" borderId="112" applyNumberFormat="0" applyProtection="0">
      <alignment horizontal="left" vertical="center" indent="1"/>
    </xf>
    <xf numFmtId="4" fontId="111" fillId="15" borderId="112" applyNumberFormat="0" applyProtection="0">
      <alignment horizontal="right" vertical="center"/>
    </xf>
    <xf numFmtId="4" fontId="5" fillId="0" borderId="112" applyNumberFormat="0" applyProtection="0">
      <alignment horizontal="right" vertical="center"/>
    </xf>
    <xf numFmtId="4" fontId="38" fillId="25" borderId="116" applyNumberFormat="0" applyProtection="0">
      <alignment horizontal="right" vertical="center"/>
    </xf>
    <xf numFmtId="6" fontId="79" fillId="36" borderId="103"/>
    <xf numFmtId="5" fontId="77" fillId="30" borderId="103">
      <alignment vertical="top"/>
    </xf>
    <xf numFmtId="0" fontId="1" fillId="33" borderId="116" applyNumberFormat="0" applyProtection="0">
      <alignment horizontal="left" vertical="center" indent="1"/>
    </xf>
    <xf numFmtId="0" fontId="1" fillId="2" borderId="116" applyNumberFormat="0" applyProtection="0">
      <alignment horizontal="left" vertical="center" indent="1"/>
    </xf>
    <xf numFmtId="0" fontId="1" fillId="19" borderId="116" applyNumberFormat="0" applyProtection="0">
      <alignment horizontal="left" vertical="center" indent="1"/>
    </xf>
    <xf numFmtId="0" fontId="1" fillId="19" borderId="116" applyNumberFormat="0" applyProtection="0">
      <alignment horizontal="left" vertical="center" indent="1"/>
    </xf>
    <xf numFmtId="4" fontId="38" fillId="3" borderId="116" applyNumberFormat="0" applyProtection="0">
      <alignment vertical="center"/>
    </xf>
    <xf numFmtId="4" fontId="64" fillId="3" borderId="116" applyNumberFormat="0" applyProtection="0">
      <alignment vertical="center"/>
    </xf>
    <xf numFmtId="4" fontId="38" fillId="3" borderId="116" applyNumberFormat="0" applyProtection="0">
      <alignment horizontal="left" vertical="center" indent="1"/>
    </xf>
    <xf numFmtId="4" fontId="38" fillId="30" borderId="116" applyNumberFormat="0" applyProtection="0">
      <alignment horizontal="right" vertical="center"/>
    </xf>
    <xf numFmtId="4" fontId="64" fillId="30" borderId="116" applyNumberFormat="0" applyProtection="0">
      <alignment horizontal="right" vertical="center"/>
    </xf>
    <xf numFmtId="0" fontId="1" fillId="19" borderId="116" applyNumberFormat="0" applyProtection="0">
      <alignment horizontal="left" vertical="center" indent="1"/>
    </xf>
    <xf numFmtId="4" fontId="68" fillId="30" borderId="116" applyNumberFormat="0" applyProtection="0">
      <alignment horizontal="right" vertical="center"/>
    </xf>
    <xf numFmtId="0" fontId="1" fillId="2" borderId="98" applyNumberFormat="0" applyProtection="0">
      <alignment horizontal="left" vertical="center" indent="1"/>
    </xf>
    <xf numFmtId="4" fontId="38" fillId="18" borderId="116" applyNumberFormat="0" applyProtection="0">
      <alignment horizontal="left" vertical="center" indent="1"/>
    </xf>
    <xf numFmtId="0" fontId="1" fillId="19" borderId="116" applyNumberFormat="0" applyProtection="0">
      <alignment horizontal="left" vertical="center" indent="1"/>
    </xf>
    <xf numFmtId="4" fontId="38" fillId="20" borderId="116" applyNumberFormat="0" applyProtection="0">
      <alignment horizontal="right" vertical="center"/>
    </xf>
    <xf numFmtId="4" fontId="38" fillId="21" borderId="116" applyNumberFormat="0" applyProtection="0">
      <alignment horizontal="right" vertical="center"/>
    </xf>
    <xf numFmtId="4" fontId="38" fillId="22" borderId="116" applyNumberFormat="0" applyProtection="0">
      <alignment horizontal="right" vertical="center"/>
    </xf>
    <xf numFmtId="0" fontId="2" fillId="0" borderId="114">
      <alignment horizontal="left" vertical="center"/>
    </xf>
    <xf numFmtId="4" fontId="38" fillId="23" borderId="116" applyNumberFormat="0" applyProtection="0">
      <alignment horizontal="right" vertical="center"/>
    </xf>
    <xf numFmtId="4" fontId="38" fillId="30" borderId="116" applyNumberFormat="0" applyProtection="0">
      <alignment horizontal="left" vertical="center" indent="1"/>
    </xf>
    <xf numFmtId="4" fontId="38" fillId="18" borderId="116" applyNumberFormat="0" applyProtection="0">
      <alignment vertical="center"/>
    </xf>
    <xf numFmtId="4" fontId="64" fillId="18" borderId="116" applyNumberFormat="0" applyProtection="0">
      <alignment vertical="center"/>
    </xf>
    <xf numFmtId="4" fontId="38" fillId="18" borderId="116" applyNumberFormat="0" applyProtection="0">
      <alignment horizontal="left" vertical="center" indent="1"/>
    </xf>
    <xf numFmtId="4" fontId="5" fillId="0" borderId="105" applyNumberFormat="0" applyProtection="0">
      <alignment horizontal="right" vertical="center"/>
    </xf>
    <xf numFmtId="4" fontId="111" fillId="15" borderId="105" applyNumberFormat="0" applyProtection="0">
      <alignment horizontal="right" vertical="center"/>
    </xf>
    <xf numFmtId="4" fontId="5" fillId="50" borderId="105" applyNumberFormat="0" applyProtection="0">
      <alignment horizontal="left" vertical="center" indent="1"/>
    </xf>
    <xf numFmtId="0" fontId="5" fillId="60" borderId="95" applyNumberFormat="0" applyProtection="0">
      <alignment horizontal="left" vertical="top" indent="1"/>
    </xf>
    <xf numFmtId="0" fontId="5" fillId="59" borderId="95" applyNumberFormat="0" applyProtection="0">
      <alignment horizontal="left" vertical="top" indent="1"/>
    </xf>
    <xf numFmtId="0" fontId="5" fillId="44" borderId="95" applyNumberFormat="0" applyProtection="0">
      <alignment horizontal="left" vertical="top" indent="1"/>
    </xf>
    <xf numFmtId="0" fontId="5" fillId="34" borderId="105" applyNumberFormat="0" applyProtection="0">
      <alignment horizontal="left" vertical="center" indent="1"/>
    </xf>
    <xf numFmtId="4" fontId="5" fillId="59" borderId="105" applyNumberFormat="0" applyProtection="0">
      <alignment horizontal="right" vertical="center"/>
    </xf>
    <xf numFmtId="4" fontId="5" fillId="0" borderId="105" applyNumberFormat="0" applyProtection="0">
      <alignment horizontal="right" vertical="center"/>
    </xf>
    <xf numFmtId="4" fontId="111" fillId="15" borderId="105" applyNumberFormat="0" applyProtection="0">
      <alignment horizontal="right" vertical="center"/>
    </xf>
    <xf numFmtId="0" fontId="5" fillId="61" borderId="105" applyNumberFormat="0" applyProtection="0">
      <alignment horizontal="left" vertical="center" indent="1"/>
    </xf>
    <xf numFmtId="0" fontId="5" fillId="44" borderId="105" applyNumberFormat="0" applyProtection="0">
      <alignment horizontal="left" vertical="center" indent="1"/>
    </xf>
    <xf numFmtId="0" fontId="5" fillId="62" borderId="105" applyNumberFormat="0" applyProtection="0">
      <alignment horizontal="left" vertical="center" indent="1"/>
    </xf>
    <xf numFmtId="4" fontId="112" fillId="63" borderId="105" applyNumberFormat="0" applyProtection="0">
      <alignment horizontal="right" vertical="center"/>
    </xf>
    <xf numFmtId="4" fontId="5" fillId="50" borderId="105" applyNumberFormat="0" applyProtection="0">
      <alignment horizontal="left" vertical="center" indent="1"/>
    </xf>
    <xf numFmtId="4" fontId="5" fillId="0" borderId="105" applyNumberFormat="0" applyProtection="0">
      <alignment horizontal="right" vertical="center"/>
    </xf>
    <xf numFmtId="0" fontId="5" fillId="34" borderId="105" applyNumberFormat="0" applyProtection="0">
      <alignment horizontal="left" vertical="center" indent="1"/>
    </xf>
    <xf numFmtId="0" fontId="5" fillId="59" borderId="95" applyNumberFormat="0" applyProtection="0">
      <alignment horizontal="left" vertical="top" indent="1"/>
    </xf>
    <xf numFmtId="4" fontId="38" fillId="21" borderId="109" applyNumberFormat="0" applyProtection="0">
      <alignment horizontal="right" vertical="center"/>
    </xf>
    <xf numFmtId="4" fontId="112" fillId="63" borderId="105" applyNumberFormat="0" applyProtection="0">
      <alignment horizontal="right" vertical="center"/>
    </xf>
    <xf numFmtId="0" fontId="5" fillId="62" borderId="105" applyNumberFormat="0" applyProtection="0">
      <alignment horizontal="left" vertical="center" indent="1"/>
    </xf>
    <xf numFmtId="0" fontId="5" fillId="44" borderId="105" applyNumberFormat="0" applyProtection="0">
      <alignment horizontal="left" vertical="center" indent="1"/>
    </xf>
    <xf numFmtId="0" fontId="5" fillId="61" borderId="105" applyNumberFormat="0" applyProtection="0">
      <alignment horizontal="left" vertical="center" indent="1"/>
    </xf>
    <xf numFmtId="4" fontId="5" fillId="59" borderId="105" applyNumberFormat="0" applyProtection="0">
      <alignment horizontal="right" vertical="center"/>
    </xf>
    <xf numFmtId="0" fontId="5" fillId="44" borderId="95" applyNumberFormat="0" applyProtection="0">
      <alignment horizontal="left" vertical="top" indent="1"/>
    </xf>
    <xf numFmtId="0" fontId="5" fillId="60" borderId="95" applyNumberFormat="0" applyProtection="0">
      <alignment horizontal="left" vertical="top" indent="1"/>
    </xf>
    <xf numFmtId="4" fontId="38" fillId="20" borderId="109" applyNumberFormat="0" applyProtection="0">
      <alignment horizontal="right" vertical="center"/>
    </xf>
    <xf numFmtId="0" fontId="2" fillId="0" borderId="106">
      <alignment horizontal="left" vertical="center"/>
    </xf>
    <xf numFmtId="4" fontId="5" fillId="0" borderId="112" applyNumberFormat="0" applyProtection="0">
      <alignment horizontal="right" vertical="center"/>
    </xf>
    <xf numFmtId="4" fontId="111" fillId="15" borderId="112" applyNumberFormat="0" applyProtection="0">
      <alignment horizontal="right" vertical="center"/>
    </xf>
    <xf numFmtId="0" fontId="5" fillId="61" borderId="112" applyNumberFormat="0" applyProtection="0">
      <alignment horizontal="left" vertical="center" indent="1"/>
    </xf>
    <xf numFmtId="0" fontId="5" fillId="44" borderId="112" applyNumberFormat="0" applyProtection="0">
      <alignment horizontal="left" vertical="center" indent="1"/>
    </xf>
    <xf numFmtId="0" fontId="5" fillId="62" borderId="112" applyNumberFormat="0" applyProtection="0">
      <alignment horizontal="left" vertical="center" indent="1"/>
    </xf>
    <xf numFmtId="4" fontId="112" fillId="63" borderId="112" applyNumberFormat="0" applyProtection="0">
      <alignment horizontal="right" vertical="center"/>
    </xf>
    <xf numFmtId="4" fontId="5" fillId="50" borderId="112" applyNumberFormat="0" applyProtection="0">
      <alignment horizontal="left" vertical="center" indent="1"/>
    </xf>
    <xf numFmtId="4" fontId="5" fillId="0" borderId="112" applyNumberFormat="0" applyProtection="0">
      <alignment horizontal="right" vertical="center"/>
    </xf>
    <xf numFmtId="0" fontId="5" fillId="34" borderId="112" applyNumberFormat="0" applyProtection="0">
      <alignment horizontal="left" vertical="center" indent="1"/>
    </xf>
    <xf numFmtId="0" fontId="5" fillId="59" borderId="113" applyNumberFormat="0" applyProtection="0">
      <alignment horizontal="left" vertical="top" indent="1"/>
    </xf>
    <xf numFmtId="4" fontId="38" fillId="30" borderId="111" applyNumberFormat="0" applyProtection="0">
      <alignment horizontal="left" vertical="center" indent="1"/>
    </xf>
    <xf numFmtId="4" fontId="112" fillId="63" borderId="112" applyNumberFormat="0" applyProtection="0">
      <alignment horizontal="right" vertical="center"/>
    </xf>
    <xf numFmtId="0" fontId="5" fillId="62" borderId="112" applyNumberFormat="0" applyProtection="0">
      <alignment horizontal="left" vertical="center" indent="1"/>
    </xf>
    <xf numFmtId="0" fontId="5" fillId="44" borderId="112" applyNumberFormat="0" applyProtection="0">
      <alignment horizontal="left" vertical="center" indent="1"/>
    </xf>
    <xf numFmtId="0" fontId="5" fillId="61" borderId="112" applyNumberFormat="0" applyProtection="0">
      <alignment horizontal="left" vertical="center" indent="1"/>
    </xf>
    <xf numFmtId="4" fontId="5" fillId="59" borderId="112" applyNumberFormat="0" applyProtection="0">
      <alignment horizontal="right" vertical="center"/>
    </xf>
    <xf numFmtId="0" fontId="94" fillId="58" borderId="108" applyNumberFormat="0" applyFont="0" applyAlignment="0" applyProtection="0"/>
    <xf numFmtId="0" fontId="5" fillId="44" borderId="113" applyNumberFormat="0" applyProtection="0">
      <alignment horizontal="left" vertical="top" indent="1"/>
    </xf>
    <xf numFmtId="0" fontId="5" fillId="60" borderId="113" applyNumberFormat="0" applyProtection="0">
      <alignment horizontal="left" vertical="top" indent="1"/>
    </xf>
    <xf numFmtId="4" fontId="38" fillId="28" borderId="116" applyNumberFormat="0" applyProtection="0">
      <alignment horizontal="right" vertical="center"/>
    </xf>
    <xf numFmtId="0" fontId="94" fillId="58" borderId="108" applyNumberFormat="0" applyFont="0" applyAlignment="0" applyProtection="0"/>
    <xf numFmtId="4" fontId="38" fillId="27" borderId="116" applyNumberFormat="0" applyProtection="0">
      <alignment horizontal="right" vertical="center"/>
    </xf>
    <xf numFmtId="4" fontId="38" fillId="24" borderId="116" applyNumberFormat="0" applyProtection="0">
      <alignment horizontal="right" vertical="center"/>
    </xf>
    <xf numFmtId="4" fontId="65" fillId="29" borderId="116" applyNumberFormat="0" applyProtection="0">
      <alignment horizontal="left" vertical="center" indent="1"/>
    </xf>
    <xf numFmtId="4" fontId="5" fillId="0" borderId="112" applyNumberFormat="0" applyProtection="0">
      <alignment horizontal="right" vertical="center"/>
    </xf>
    <xf numFmtId="4" fontId="111" fillId="15" borderId="112" applyNumberFormat="0" applyProtection="0">
      <alignment horizontal="right" vertical="center"/>
    </xf>
    <xf numFmtId="4" fontId="5" fillId="50" borderId="112" applyNumberFormat="0" applyProtection="0">
      <alignment horizontal="left" vertical="center" indent="1"/>
    </xf>
    <xf numFmtId="0" fontId="5" fillId="60" borderId="113" applyNumberFormat="0" applyProtection="0">
      <alignment horizontal="left" vertical="top" indent="1"/>
    </xf>
    <xf numFmtId="0" fontId="5" fillId="59" borderId="113" applyNumberFormat="0" applyProtection="0">
      <alignment horizontal="left" vertical="top" indent="1"/>
    </xf>
    <xf numFmtId="0" fontId="5" fillId="44" borderId="113" applyNumberFormat="0" applyProtection="0">
      <alignment horizontal="left" vertical="top" indent="1"/>
    </xf>
    <xf numFmtId="0" fontId="5" fillId="34" borderId="112" applyNumberFormat="0" applyProtection="0">
      <alignment horizontal="left" vertical="center" indent="1"/>
    </xf>
    <xf numFmtId="4" fontId="5" fillId="59" borderId="112" applyNumberFormat="0" applyProtection="0">
      <alignment horizontal="right" vertical="center"/>
    </xf>
    <xf numFmtId="4" fontId="5" fillId="0" borderId="112" applyNumberFormat="0" applyProtection="0">
      <alignment horizontal="right" vertical="center"/>
    </xf>
    <xf numFmtId="4" fontId="111" fillId="15" borderId="112" applyNumberFormat="0" applyProtection="0">
      <alignment horizontal="right" vertical="center"/>
    </xf>
    <xf numFmtId="0" fontId="5" fillId="61" borderId="112" applyNumberFormat="0" applyProtection="0">
      <alignment horizontal="left" vertical="center" indent="1"/>
    </xf>
    <xf numFmtId="0" fontId="5" fillId="44" borderId="112" applyNumberFormat="0" applyProtection="0">
      <alignment horizontal="left" vertical="center" indent="1"/>
    </xf>
    <xf numFmtId="0" fontId="5" fillId="62" borderId="112" applyNumberFormat="0" applyProtection="0">
      <alignment horizontal="left" vertical="center" indent="1"/>
    </xf>
    <xf numFmtId="4" fontId="112" fillId="63" borderId="112" applyNumberFormat="0" applyProtection="0">
      <alignment horizontal="right" vertical="center"/>
    </xf>
    <xf numFmtId="4" fontId="5" fillId="50" borderId="112" applyNumberFormat="0" applyProtection="0">
      <alignment horizontal="left" vertical="center" indent="1"/>
    </xf>
    <xf numFmtId="4" fontId="5" fillId="0" borderId="112" applyNumberFormat="0" applyProtection="0">
      <alignment horizontal="right" vertical="center"/>
    </xf>
    <xf numFmtId="0" fontId="5" fillId="34" borderId="112" applyNumberFormat="0" applyProtection="0">
      <alignment horizontal="left" vertical="center" indent="1"/>
    </xf>
    <xf numFmtId="0" fontId="5" fillId="59" borderId="113" applyNumberFormat="0" applyProtection="0">
      <alignment horizontal="left" vertical="top" indent="1"/>
    </xf>
    <xf numFmtId="4" fontId="112" fillId="63" borderId="112" applyNumberFormat="0" applyProtection="0">
      <alignment horizontal="right" vertical="center"/>
    </xf>
    <xf numFmtId="0" fontId="5" fillId="62" borderId="112" applyNumberFormat="0" applyProtection="0">
      <alignment horizontal="left" vertical="center" indent="1"/>
    </xf>
    <xf numFmtId="0" fontId="5" fillId="44" borderId="112" applyNumberFormat="0" applyProtection="0">
      <alignment horizontal="left" vertical="center" indent="1"/>
    </xf>
    <xf numFmtId="0" fontId="5" fillId="61" borderId="112" applyNumberFormat="0" applyProtection="0">
      <alignment horizontal="left" vertical="center" indent="1"/>
    </xf>
    <xf numFmtId="4" fontId="5" fillId="59" borderId="112" applyNumberFormat="0" applyProtection="0">
      <alignment horizontal="right" vertical="center"/>
    </xf>
    <xf numFmtId="0" fontId="94" fillId="58" borderId="115" applyNumberFormat="0" applyFont="0" applyAlignment="0" applyProtection="0"/>
    <xf numFmtId="0" fontId="5" fillId="44" borderId="113" applyNumberFormat="0" applyProtection="0">
      <alignment horizontal="left" vertical="top" indent="1"/>
    </xf>
    <xf numFmtId="0" fontId="5" fillId="60" borderId="113" applyNumberFormat="0" applyProtection="0">
      <alignment horizontal="left" vertical="top" indent="1"/>
    </xf>
    <xf numFmtId="0" fontId="94" fillId="58" borderId="115" applyNumberFormat="0" applyFont="0" applyAlignment="0" applyProtection="0"/>
    <xf numFmtId="0" fontId="1" fillId="58" borderId="108" applyNumberFormat="0" applyFont="0" applyAlignment="0" applyProtection="0"/>
    <xf numFmtId="0" fontId="107" fillId="34" borderId="9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109" fillId="0" borderId="99" applyNumberFormat="0" applyFill="0" applyAlignment="0" applyProtection="0"/>
    <xf numFmtId="4" fontId="5" fillId="0" borderId="119" applyNumberFormat="0" applyProtection="0">
      <alignment horizontal="right" vertical="center"/>
    </xf>
    <xf numFmtId="4" fontId="111" fillId="15" borderId="119" applyNumberFormat="0" applyProtection="0">
      <alignment horizontal="right" vertical="center"/>
    </xf>
    <xf numFmtId="4" fontId="5" fillId="50" borderId="119" applyNumberFormat="0" applyProtection="0">
      <alignment horizontal="left" vertical="center" indent="1"/>
    </xf>
    <xf numFmtId="0" fontId="5" fillId="60" borderId="95" applyNumberFormat="0" applyProtection="0">
      <alignment horizontal="left" vertical="top" indent="1"/>
    </xf>
    <xf numFmtId="0" fontId="5" fillId="59" borderId="95" applyNumberFormat="0" applyProtection="0">
      <alignment horizontal="left" vertical="top" indent="1"/>
    </xf>
    <xf numFmtId="0" fontId="5" fillId="44" borderId="95" applyNumberFormat="0" applyProtection="0">
      <alignment horizontal="left" vertical="top" indent="1"/>
    </xf>
    <xf numFmtId="0" fontId="5" fillId="34" borderId="119" applyNumberFormat="0" applyProtection="0">
      <alignment horizontal="left" vertical="center" indent="1"/>
    </xf>
    <xf numFmtId="4" fontId="5" fillId="59" borderId="119" applyNumberFormat="0" applyProtection="0">
      <alignment horizontal="right" vertical="center"/>
    </xf>
    <xf numFmtId="4" fontId="5" fillId="0" borderId="119" applyNumberFormat="0" applyProtection="0">
      <alignment horizontal="right" vertical="center"/>
    </xf>
    <xf numFmtId="4" fontId="111" fillId="15" borderId="119" applyNumberFormat="0" applyProtection="0">
      <alignment horizontal="right" vertical="center"/>
    </xf>
    <xf numFmtId="0" fontId="5" fillId="61" borderId="119" applyNumberFormat="0" applyProtection="0">
      <alignment horizontal="left" vertical="center" indent="1"/>
    </xf>
    <xf numFmtId="0" fontId="5" fillId="44" borderId="119" applyNumberFormat="0" applyProtection="0">
      <alignment horizontal="left" vertical="center" indent="1"/>
    </xf>
    <xf numFmtId="0" fontId="5" fillId="62" borderId="119" applyNumberFormat="0" applyProtection="0">
      <alignment horizontal="left" vertical="center" indent="1"/>
    </xf>
    <xf numFmtId="4" fontId="112" fillId="63" borderId="119" applyNumberFormat="0" applyProtection="0">
      <alignment horizontal="right" vertical="center"/>
    </xf>
    <xf numFmtId="4" fontId="5" fillId="50" borderId="119" applyNumberFormat="0" applyProtection="0">
      <alignment horizontal="left" vertical="center" indent="1"/>
    </xf>
    <xf numFmtId="4" fontId="5" fillId="0" borderId="119" applyNumberFormat="0" applyProtection="0">
      <alignment horizontal="right" vertical="center"/>
    </xf>
    <xf numFmtId="0" fontId="5" fillId="34" borderId="119" applyNumberFormat="0" applyProtection="0">
      <alignment horizontal="left" vertical="center" indent="1"/>
    </xf>
    <xf numFmtId="0" fontId="5" fillId="59" borderId="95" applyNumberFormat="0" applyProtection="0">
      <alignment horizontal="left" vertical="top" indent="1"/>
    </xf>
    <xf numFmtId="43" fontId="1" fillId="0" borderId="0" applyFont="0" applyFill="0" applyBorder="0" applyAlignment="0" applyProtection="0"/>
    <xf numFmtId="43" fontId="1" fillId="0" borderId="0" applyFont="0" applyFill="0" applyBorder="0" applyAlignment="0" applyProtection="0"/>
    <xf numFmtId="4" fontId="112" fillId="63" borderId="119" applyNumberFormat="0" applyProtection="0">
      <alignment horizontal="right" vertical="center"/>
    </xf>
    <xf numFmtId="0" fontId="5" fillId="62" borderId="119" applyNumberFormat="0" applyProtection="0">
      <alignment horizontal="left" vertical="center" indent="1"/>
    </xf>
    <xf numFmtId="0" fontId="5" fillId="44" borderId="119" applyNumberFormat="0" applyProtection="0">
      <alignment horizontal="left" vertical="center" indent="1"/>
    </xf>
    <xf numFmtId="0" fontId="5" fillId="61" borderId="119" applyNumberFormat="0" applyProtection="0">
      <alignment horizontal="left" vertical="center" indent="1"/>
    </xf>
    <xf numFmtId="4" fontId="5" fillId="59" borderId="119" applyNumberFormat="0" applyProtection="0">
      <alignment horizontal="right" vertical="center"/>
    </xf>
    <xf numFmtId="0" fontId="94" fillId="58" borderId="108" applyNumberFormat="0" applyFont="0" applyAlignment="0" applyProtection="0"/>
    <xf numFmtId="0" fontId="5" fillId="44" borderId="95" applyNumberFormat="0" applyProtection="0">
      <alignment horizontal="left" vertical="top" indent="1"/>
    </xf>
    <xf numFmtId="0" fontId="5" fillId="60" borderId="95" applyNumberFormat="0" applyProtection="0">
      <alignment horizontal="left" vertical="top" indent="1"/>
    </xf>
    <xf numFmtId="0" fontId="94" fillId="58" borderId="108"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200" fontId="1" fillId="0" borderId="0" applyFont="0" applyFill="0" applyBorder="0" applyAlignment="0" applyProtection="0"/>
    <xf numFmtId="43" fontId="94" fillId="0" borderId="0" applyFont="0" applyFill="0" applyBorder="0" applyAlignment="0" applyProtection="0"/>
    <xf numFmtId="43" fontId="1" fillId="0" borderId="0" applyFont="0" applyFill="0" applyBorder="0" applyAlignment="0" applyProtection="0"/>
    <xf numFmtId="0" fontId="11" fillId="0" borderId="0"/>
    <xf numFmtId="4" fontId="38" fillId="3" borderId="124" applyNumberFormat="0" applyProtection="0">
      <alignment horizontal="left" vertical="center" indent="1"/>
    </xf>
    <xf numFmtId="0" fontId="1" fillId="33" borderId="131" applyNumberFormat="0" applyProtection="0">
      <alignment horizontal="left" vertical="center" indent="1"/>
    </xf>
    <xf numFmtId="4" fontId="68" fillId="30" borderId="124" applyNumberFormat="0" applyProtection="0">
      <alignment horizontal="right" vertical="center"/>
    </xf>
    <xf numFmtId="0" fontId="1" fillId="19" borderId="124" applyNumberFormat="0" applyProtection="0">
      <alignment horizontal="left" vertical="center" indent="1"/>
    </xf>
    <xf numFmtId="0" fontId="1" fillId="19" borderId="124" applyNumberFormat="0" applyProtection="0">
      <alignment horizontal="left" vertical="center" indent="1"/>
    </xf>
    <xf numFmtId="4" fontId="64" fillId="30" borderId="124" applyNumberFormat="0" applyProtection="0">
      <alignment horizontal="right" vertical="center"/>
    </xf>
    <xf numFmtId="4" fontId="38" fillId="30" borderId="124" applyNumberFormat="0" applyProtection="0">
      <alignment horizontal="right" vertical="center"/>
    </xf>
    <xf numFmtId="4" fontId="38" fillId="3" borderId="124" applyNumberFormat="0" applyProtection="0">
      <alignment horizontal="left" vertical="center" indent="1"/>
    </xf>
    <xf numFmtId="4" fontId="64" fillId="3" borderId="124" applyNumberFormat="0" applyProtection="0">
      <alignment vertical="center"/>
    </xf>
    <xf numFmtId="4" fontId="38" fillId="3" borderId="124" applyNumberFormat="0" applyProtection="0">
      <alignment vertical="center"/>
    </xf>
    <xf numFmtId="0" fontId="1" fillId="19" borderId="124" applyNumberFormat="0" applyProtection="0">
      <alignment horizontal="left" vertical="center" indent="1"/>
    </xf>
    <xf numFmtId="0" fontId="1" fillId="19" borderId="124" applyNumberFormat="0" applyProtection="0">
      <alignment horizontal="left" vertical="center" indent="1"/>
    </xf>
    <xf numFmtId="0" fontId="1" fillId="2" borderId="124" applyNumberFormat="0" applyProtection="0">
      <alignment horizontal="left" vertical="center" indent="1"/>
    </xf>
    <xf numFmtId="0" fontId="1" fillId="2" borderId="124" applyNumberFormat="0" applyProtection="0">
      <alignment horizontal="left" vertical="center" indent="1"/>
    </xf>
    <xf numFmtId="0" fontId="1" fillId="33" borderId="124" applyNumberFormat="0" applyProtection="0">
      <alignment horizontal="left" vertical="center" indent="1"/>
    </xf>
    <xf numFmtId="0" fontId="1" fillId="33" borderId="124" applyNumberFormat="0" applyProtection="0">
      <alignment horizontal="left" vertical="center" indent="1"/>
    </xf>
    <xf numFmtId="0" fontId="1" fillId="32" borderId="124" applyNumberFormat="0" applyProtection="0">
      <alignment horizontal="left" vertical="center" indent="1"/>
    </xf>
    <xf numFmtId="0" fontId="1" fillId="32" borderId="124" applyNumberFormat="0" applyProtection="0">
      <alignment horizontal="left" vertical="center" indent="1"/>
    </xf>
    <xf numFmtId="4" fontId="38" fillId="32" borderId="124" applyNumberFormat="0" applyProtection="0">
      <alignment horizontal="left" vertical="center" indent="1"/>
    </xf>
    <xf numFmtId="4" fontId="38" fillId="30" borderId="124" applyNumberFormat="0" applyProtection="0">
      <alignment horizontal="left" vertical="center" indent="1"/>
    </xf>
    <xf numFmtId="0" fontId="1" fillId="19" borderId="124" applyNumberFormat="0" applyProtection="0">
      <alignment horizontal="left" vertical="center" indent="1"/>
    </xf>
    <xf numFmtId="4" fontId="38" fillId="30" borderId="126" applyNumberFormat="0" applyProtection="0">
      <alignment horizontal="left" vertical="center" indent="1"/>
    </xf>
    <xf numFmtId="4" fontId="65" fillId="29" borderId="124" applyNumberFormat="0" applyProtection="0">
      <alignment horizontal="left" vertical="center" indent="1"/>
    </xf>
    <xf numFmtId="4" fontId="38" fillId="23" borderId="124" applyNumberFormat="0" applyProtection="0">
      <alignment horizontal="right" vertical="center"/>
    </xf>
    <xf numFmtId="0" fontId="1" fillId="19" borderId="124" applyNumberFormat="0" applyProtection="0">
      <alignment horizontal="left" vertical="center" indent="1"/>
    </xf>
    <xf numFmtId="4" fontId="38" fillId="18" borderId="124" applyNumberFormat="0" applyProtection="0">
      <alignment horizontal="left" vertical="center" indent="1"/>
    </xf>
    <xf numFmtId="4" fontId="38" fillId="18" borderId="124" applyNumberFormat="0" applyProtection="0">
      <alignment horizontal="left" vertical="center" indent="1"/>
    </xf>
    <xf numFmtId="4" fontId="64" fillId="18" borderId="124" applyNumberFormat="0" applyProtection="0">
      <alignment vertical="center"/>
    </xf>
    <xf numFmtId="4" fontId="38" fillId="18" borderId="124" applyNumberFormat="0" applyProtection="0">
      <alignment vertical="center"/>
    </xf>
    <xf numFmtId="0" fontId="109" fillId="0" borderId="125" applyNumberFormat="0" applyFill="0" applyAlignment="0" applyProtection="0"/>
    <xf numFmtId="0" fontId="107" fillId="34" borderId="124" applyNumberFormat="0" applyAlignment="0" applyProtection="0"/>
    <xf numFmtId="4" fontId="38" fillId="28" borderId="124" applyNumberFormat="0" applyProtection="0">
      <alignment horizontal="right" vertical="center"/>
    </xf>
    <xf numFmtId="0" fontId="97" fillId="34" borderId="122" applyNumberFormat="0" applyAlignment="0" applyProtection="0"/>
    <xf numFmtId="0" fontId="1" fillId="32" borderId="131" applyNumberFormat="0" applyProtection="0">
      <alignment horizontal="left" vertical="center" indent="1"/>
    </xf>
    <xf numFmtId="4" fontId="38" fillId="24" borderId="124" applyNumberFormat="0" applyProtection="0">
      <alignment horizontal="right" vertical="center"/>
    </xf>
    <xf numFmtId="0" fontId="104" fillId="43" borderId="122" applyNumberFormat="0" applyAlignment="0" applyProtection="0"/>
    <xf numFmtId="4" fontId="38" fillId="26" borderId="131" applyNumberFormat="0" applyProtection="0">
      <alignment horizontal="right" vertical="center"/>
    </xf>
    <xf numFmtId="4" fontId="38" fillId="26" borderId="124" applyNumberFormat="0" applyProtection="0">
      <alignment horizontal="right" vertical="center"/>
    </xf>
    <xf numFmtId="0" fontId="1" fillId="58" borderId="123" applyNumberFormat="0" applyFont="0" applyAlignment="0" applyProtection="0"/>
    <xf numFmtId="4" fontId="38" fillId="27" borderId="124" applyNumberFormat="0" applyProtection="0">
      <alignment horizontal="right" vertical="center"/>
    </xf>
    <xf numFmtId="4" fontId="38" fillId="25" borderId="124" applyNumberFormat="0" applyProtection="0">
      <alignment horizontal="right" vertical="center"/>
    </xf>
    <xf numFmtId="4" fontId="38" fillId="22" borderId="124" applyNumberFormat="0" applyProtection="0">
      <alignment horizontal="right" vertical="center"/>
    </xf>
    <xf numFmtId="0" fontId="1" fillId="19" borderId="131" applyNumberFormat="0" applyProtection="0">
      <alignment horizontal="left" vertical="center" indent="1"/>
    </xf>
    <xf numFmtId="0" fontId="1" fillId="58" borderId="130" applyNumberFormat="0" applyFont="0" applyAlignment="0" applyProtection="0"/>
    <xf numFmtId="5" fontId="55" fillId="0" borderId="120">
      <alignment horizontal="left" vertical="top"/>
    </xf>
    <xf numFmtId="0" fontId="1" fillId="19" borderId="131" applyNumberFormat="0" applyProtection="0">
      <alignment horizontal="left" vertical="center" indent="1"/>
    </xf>
    <xf numFmtId="4" fontId="38" fillId="32" borderId="131" applyNumberFormat="0" applyProtection="0">
      <alignment horizontal="left" vertical="center" indent="1"/>
    </xf>
    <xf numFmtId="0" fontId="1" fillId="32" borderId="131" applyNumberFormat="0" applyProtection="0">
      <alignment horizontal="left" vertical="center" indent="1"/>
    </xf>
    <xf numFmtId="0" fontId="1" fillId="2" borderId="131" applyNumberFormat="0" applyProtection="0">
      <alignment horizontal="left" vertical="center" indent="1"/>
    </xf>
    <xf numFmtId="4" fontId="38" fillId="3" borderId="131" applyNumberFormat="0" applyProtection="0">
      <alignment horizontal="left" vertical="center" indent="1"/>
    </xf>
    <xf numFmtId="0" fontId="107" fillId="34" borderId="131" applyNumberFormat="0" applyAlignment="0" applyProtection="0"/>
    <xf numFmtId="0" fontId="109" fillId="0" borderId="132" applyNumberFormat="0" applyFill="0" applyAlignment="0" applyProtection="0"/>
    <xf numFmtId="4" fontId="5" fillId="59" borderId="127" applyNumberFormat="0" applyProtection="0">
      <alignment horizontal="right" vertical="center"/>
    </xf>
    <xf numFmtId="0" fontId="5" fillId="34" borderId="127" applyNumberFormat="0" applyProtection="0">
      <alignment horizontal="left" vertical="center" indent="1"/>
    </xf>
    <xf numFmtId="0" fontId="5" fillId="44" borderId="128" applyNumberFormat="0" applyProtection="0">
      <alignment horizontal="left" vertical="top" indent="1"/>
    </xf>
    <xf numFmtId="0" fontId="5" fillId="59" borderId="128" applyNumberFormat="0" applyProtection="0">
      <alignment horizontal="left" vertical="top" indent="1"/>
    </xf>
    <xf numFmtId="0" fontId="5" fillId="60" borderId="128" applyNumberFormat="0" applyProtection="0">
      <alignment horizontal="left" vertical="top" indent="1"/>
    </xf>
    <xf numFmtId="4" fontId="5" fillId="50" borderId="127" applyNumberFormat="0" applyProtection="0">
      <alignment horizontal="left" vertical="center" indent="1"/>
    </xf>
    <xf numFmtId="4" fontId="111" fillId="15" borderId="127" applyNumberFormat="0" applyProtection="0">
      <alignment horizontal="right" vertical="center"/>
    </xf>
    <xf numFmtId="4" fontId="5" fillId="0" borderId="127" applyNumberFormat="0" applyProtection="0">
      <alignment horizontal="right" vertical="center"/>
    </xf>
    <xf numFmtId="4" fontId="38" fillId="25" borderId="131" applyNumberFormat="0" applyProtection="0">
      <alignment horizontal="right" vertical="center"/>
    </xf>
    <xf numFmtId="6" fontId="79" fillId="36" borderId="120"/>
    <xf numFmtId="5" fontId="77" fillId="30" borderId="120">
      <alignment vertical="top"/>
    </xf>
    <xf numFmtId="0" fontId="1" fillId="33" borderId="131" applyNumberFormat="0" applyProtection="0">
      <alignment horizontal="left" vertical="center" indent="1"/>
    </xf>
    <xf numFmtId="0" fontId="1" fillId="2" borderId="131" applyNumberFormat="0" applyProtection="0">
      <alignment horizontal="left" vertical="center" indent="1"/>
    </xf>
    <xf numFmtId="0" fontId="1" fillId="19" borderId="131" applyNumberFormat="0" applyProtection="0">
      <alignment horizontal="left" vertical="center" indent="1"/>
    </xf>
    <xf numFmtId="0" fontId="1" fillId="19" borderId="131" applyNumberFormat="0" applyProtection="0">
      <alignment horizontal="left" vertical="center" indent="1"/>
    </xf>
    <xf numFmtId="4" fontId="38" fillId="3" borderId="131" applyNumberFormat="0" applyProtection="0">
      <alignment vertical="center"/>
    </xf>
    <xf numFmtId="4" fontId="64" fillId="3" borderId="131" applyNumberFormat="0" applyProtection="0">
      <alignment vertical="center"/>
    </xf>
    <xf numFmtId="4" fontId="38" fillId="3" borderId="131" applyNumberFormat="0" applyProtection="0">
      <alignment horizontal="left" vertical="center" indent="1"/>
    </xf>
    <xf numFmtId="4" fontId="38" fillId="30" borderId="131" applyNumberFormat="0" applyProtection="0">
      <alignment horizontal="right" vertical="center"/>
    </xf>
    <xf numFmtId="4" fontId="64" fillId="30" borderId="131" applyNumberFormat="0" applyProtection="0">
      <alignment horizontal="right" vertical="center"/>
    </xf>
    <xf numFmtId="0" fontId="1" fillId="19" borderId="131" applyNumberFormat="0" applyProtection="0">
      <alignment horizontal="left" vertical="center" indent="1"/>
    </xf>
    <xf numFmtId="4" fontId="68" fillId="30" borderId="131" applyNumberFormat="0" applyProtection="0">
      <alignment horizontal="right" vertical="center"/>
    </xf>
    <xf numFmtId="4" fontId="38" fillId="18" borderId="131" applyNumberFormat="0" applyProtection="0">
      <alignment horizontal="left" vertical="center" indent="1"/>
    </xf>
    <xf numFmtId="0" fontId="1" fillId="19" borderId="131" applyNumberFormat="0" applyProtection="0">
      <alignment horizontal="left" vertical="center" indent="1"/>
    </xf>
    <xf numFmtId="4" fontId="38" fillId="20" borderId="131" applyNumberFormat="0" applyProtection="0">
      <alignment horizontal="right" vertical="center"/>
    </xf>
    <xf numFmtId="4" fontId="38" fillId="21" borderId="131" applyNumberFormat="0" applyProtection="0">
      <alignment horizontal="right" vertical="center"/>
    </xf>
    <xf numFmtId="4" fontId="38" fillId="22" borderId="131" applyNumberFormat="0" applyProtection="0">
      <alignment horizontal="right" vertical="center"/>
    </xf>
    <xf numFmtId="0" fontId="2" fillId="0" borderId="129">
      <alignment horizontal="left" vertical="center"/>
    </xf>
    <xf numFmtId="4" fontId="38" fillId="23" borderId="131" applyNumberFormat="0" applyProtection="0">
      <alignment horizontal="right" vertical="center"/>
    </xf>
    <xf numFmtId="4" fontId="38" fillId="30" borderId="131" applyNumberFormat="0" applyProtection="0">
      <alignment horizontal="left" vertical="center" indent="1"/>
    </xf>
    <xf numFmtId="4" fontId="38" fillId="18" borderId="131" applyNumberFormat="0" applyProtection="0">
      <alignment vertical="center"/>
    </xf>
    <xf numFmtId="4" fontId="64" fillId="18" borderId="131" applyNumberFormat="0" applyProtection="0">
      <alignment vertical="center"/>
    </xf>
    <xf numFmtId="4" fontId="38" fillId="18" borderId="131" applyNumberFormat="0" applyProtection="0">
      <alignment horizontal="left" vertical="center" indent="1"/>
    </xf>
    <xf numFmtId="4" fontId="5" fillId="0" borderId="119" applyNumberFormat="0" applyProtection="0">
      <alignment horizontal="right" vertical="center"/>
    </xf>
    <xf numFmtId="4" fontId="111" fillId="15" borderId="119" applyNumberFormat="0" applyProtection="0">
      <alignment horizontal="right" vertical="center"/>
    </xf>
    <xf numFmtId="4" fontId="5" fillId="50" borderId="119" applyNumberFormat="0" applyProtection="0">
      <alignment horizontal="left" vertical="center" indent="1"/>
    </xf>
    <xf numFmtId="0" fontId="5" fillId="60" borderId="95" applyNumberFormat="0" applyProtection="0">
      <alignment horizontal="left" vertical="top" indent="1"/>
    </xf>
    <xf numFmtId="0" fontId="5" fillId="59" borderId="95" applyNumberFormat="0" applyProtection="0">
      <alignment horizontal="left" vertical="top" indent="1"/>
    </xf>
    <xf numFmtId="0" fontId="5" fillId="44" borderId="95" applyNumberFormat="0" applyProtection="0">
      <alignment horizontal="left" vertical="top" indent="1"/>
    </xf>
    <xf numFmtId="0" fontId="5" fillId="34" borderId="119" applyNumberFormat="0" applyProtection="0">
      <alignment horizontal="left" vertical="center" indent="1"/>
    </xf>
    <xf numFmtId="4" fontId="5" fillId="59" borderId="119" applyNumberFormat="0" applyProtection="0">
      <alignment horizontal="right" vertical="center"/>
    </xf>
    <xf numFmtId="4" fontId="5" fillId="0" borderId="119" applyNumberFormat="0" applyProtection="0">
      <alignment horizontal="right" vertical="center"/>
    </xf>
    <xf numFmtId="4" fontId="111" fillId="15" borderId="119" applyNumberFormat="0" applyProtection="0">
      <alignment horizontal="right" vertical="center"/>
    </xf>
    <xf numFmtId="0" fontId="5" fillId="61" borderId="119" applyNumberFormat="0" applyProtection="0">
      <alignment horizontal="left" vertical="center" indent="1"/>
    </xf>
    <xf numFmtId="0" fontId="5" fillId="44" borderId="119" applyNumberFormat="0" applyProtection="0">
      <alignment horizontal="left" vertical="center" indent="1"/>
    </xf>
    <xf numFmtId="0" fontId="5" fillId="62" borderId="119" applyNumberFormat="0" applyProtection="0">
      <alignment horizontal="left" vertical="center" indent="1"/>
    </xf>
    <xf numFmtId="4" fontId="112" fillId="63" borderId="119" applyNumberFormat="0" applyProtection="0">
      <alignment horizontal="right" vertical="center"/>
    </xf>
    <xf numFmtId="4" fontId="5" fillId="50" borderId="119" applyNumberFormat="0" applyProtection="0">
      <alignment horizontal="left" vertical="center" indent="1"/>
    </xf>
    <xf numFmtId="4" fontId="5" fillId="0" borderId="119" applyNumberFormat="0" applyProtection="0">
      <alignment horizontal="right" vertical="center"/>
    </xf>
    <xf numFmtId="0" fontId="5" fillId="34" borderId="119" applyNumberFormat="0" applyProtection="0">
      <alignment horizontal="left" vertical="center" indent="1"/>
    </xf>
    <xf numFmtId="0" fontId="5" fillId="59" borderId="95" applyNumberFormat="0" applyProtection="0">
      <alignment horizontal="left" vertical="top" indent="1"/>
    </xf>
    <xf numFmtId="4" fontId="38" fillId="21" borderId="124" applyNumberFormat="0" applyProtection="0">
      <alignment horizontal="right" vertical="center"/>
    </xf>
    <xf numFmtId="4" fontId="112" fillId="63" borderId="119" applyNumberFormat="0" applyProtection="0">
      <alignment horizontal="right" vertical="center"/>
    </xf>
    <xf numFmtId="0" fontId="5" fillId="62" borderId="119" applyNumberFormat="0" applyProtection="0">
      <alignment horizontal="left" vertical="center" indent="1"/>
    </xf>
    <xf numFmtId="0" fontId="5" fillId="44" borderId="119" applyNumberFormat="0" applyProtection="0">
      <alignment horizontal="left" vertical="center" indent="1"/>
    </xf>
    <xf numFmtId="0" fontId="5" fillId="61" borderId="119" applyNumberFormat="0" applyProtection="0">
      <alignment horizontal="left" vertical="center" indent="1"/>
    </xf>
    <xf numFmtId="4" fontId="5" fillId="59" borderId="119" applyNumberFormat="0" applyProtection="0">
      <alignment horizontal="right" vertical="center"/>
    </xf>
    <xf numFmtId="0" fontId="5" fillId="44" borderId="95" applyNumberFormat="0" applyProtection="0">
      <alignment horizontal="left" vertical="top" indent="1"/>
    </xf>
    <xf numFmtId="0" fontId="5" fillId="60" borderId="95" applyNumberFormat="0" applyProtection="0">
      <alignment horizontal="left" vertical="top" indent="1"/>
    </xf>
    <xf numFmtId="4" fontId="38" fillId="20" borderId="124" applyNumberFormat="0" applyProtection="0">
      <alignment horizontal="right" vertical="center"/>
    </xf>
    <xf numFmtId="0" fontId="2" fillId="0" borderId="121">
      <alignment horizontal="left" vertical="center"/>
    </xf>
    <xf numFmtId="4" fontId="5" fillId="0" borderId="127" applyNumberFormat="0" applyProtection="0">
      <alignment horizontal="right" vertical="center"/>
    </xf>
    <xf numFmtId="4" fontId="111" fillId="15" borderId="127" applyNumberFormat="0" applyProtection="0">
      <alignment horizontal="right" vertical="center"/>
    </xf>
    <xf numFmtId="0" fontId="5" fillId="61" borderId="127" applyNumberFormat="0" applyProtection="0">
      <alignment horizontal="left" vertical="center" indent="1"/>
    </xf>
    <xf numFmtId="0" fontId="5" fillId="44" borderId="127" applyNumberFormat="0" applyProtection="0">
      <alignment horizontal="left" vertical="center" indent="1"/>
    </xf>
    <xf numFmtId="0" fontId="5" fillId="62" borderId="127" applyNumberFormat="0" applyProtection="0">
      <alignment horizontal="left" vertical="center" indent="1"/>
    </xf>
    <xf numFmtId="4" fontId="112" fillId="63" borderId="127" applyNumberFormat="0" applyProtection="0">
      <alignment horizontal="right" vertical="center"/>
    </xf>
    <xf numFmtId="4" fontId="5" fillId="50" borderId="127" applyNumberFormat="0" applyProtection="0">
      <alignment horizontal="left" vertical="center" indent="1"/>
    </xf>
    <xf numFmtId="4" fontId="5" fillId="0" borderId="127" applyNumberFormat="0" applyProtection="0">
      <alignment horizontal="right" vertical="center"/>
    </xf>
    <xf numFmtId="0" fontId="5" fillId="34" borderId="127" applyNumberFormat="0" applyProtection="0">
      <alignment horizontal="left" vertical="center" indent="1"/>
    </xf>
    <xf numFmtId="0" fontId="5" fillId="59" borderId="128" applyNumberFormat="0" applyProtection="0">
      <alignment horizontal="left" vertical="top" indent="1"/>
    </xf>
    <xf numFmtId="4" fontId="38" fillId="30" borderId="126" applyNumberFormat="0" applyProtection="0">
      <alignment horizontal="left" vertical="center" indent="1"/>
    </xf>
    <xf numFmtId="4" fontId="112" fillId="63" borderId="127" applyNumberFormat="0" applyProtection="0">
      <alignment horizontal="right" vertical="center"/>
    </xf>
    <xf numFmtId="0" fontId="5" fillId="62" borderId="127" applyNumberFormat="0" applyProtection="0">
      <alignment horizontal="left" vertical="center" indent="1"/>
    </xf>
    <xf numFmtId="0" fontId="5" fillId="44" borderId="127" applyNumberFormat="0" applyProtection="0">
      <alignment horizontal="left" vertical="center" indent="1"/>
    </xf>
    <xf numFmtId="0" fontId="5" fillId="61" borderId="127" applyNumberFormat="0" applyProtection="0">
      <alignment horizontal="left" vertical="center" indent="1"/>
    </xf>
    <xf numFmtId="4" fontId="5" fillId="59" borderId="127" applyNumberFormat="0" applyProtection="0">
      <alignment horizontal="right" vertical="center"/>
    </xf>
    <xf numFmtId="0" fontId="94" fillId="58" borderId="123" applyNumberFormat="0" applyFont="0" applyAlignment="0" applyProtection="0"/>
    <xf numFmtId="0" fontId="5" fillId="44" borderId="128" applyNumberFormat="0" applyProtection="0">
      <alignment horizontal="left" vertical="top" indent="1"/>
    </xf>
    <xf numFmtId="0" fontId="5" fillId="60" borderId="128" applyNumberFormat="0" applyProtection="0">
      <alignment horizontal="left" vertical="top" indent="1"/>
    </xf>
    <xf numFmtId="4" fontId="38" fillId="28" borderId="131" applyNumberFormat="0" applyProtection="0">
      <alignment horizontal="right" vertical="center"/>
    </xf>
    <xf numFmtId="0" fontId="94" fillId="58" borderId="123" applyNumberFormat="0" applyFont="0" applyAlignment="0" applyProtection="0"/>
    <xf numFmtId="4" fontId="38" fillId="27" borderId="131" applyNumberFormat="0" applyProtection="0">
      <alignment horizontal="right" vertical="center"/>
    </xf>
    <xf numFmtId="4" fontId="38" fillId="24" borderId="131" applyNumberFormat="0" applyProtection="0">
      <alignment horizontal="right" vertical="center"/>
    </xf>
    <xf numFmtId="4" fontId="65" fillId="29" borderId="131" applyNumberFormat="0" applyProtection="0">
      <alignment horizontal="left" vertical="center" indent="1"/>
    </xf>
    <xf numFmtId="4" fontId="5" fillId="0" borderId="127" applyNumberFormat="0" applyProtection="0">
      <alignment horizontal="right" vertical="center"/>
    </xf>
    <xf numFmtId="4" fontId="111" fillId="15" borderId="127" applyNumberFormat="0" applyProtection="0">
      <alignment horizontal="right" vertical="center"/>
    </xf>
    <xf numFmtId="4" fontId="5" fillId="50" borderId="127" applyNumberFormat="0" applyProtection="0">
      <alignment horizontal="left" vertical="center" indent="1"/>
    </xf>
    <xf numFmtId="0" fontId="5" fillId="60" borderId="128" applyNumberFormat="0" applyProtection="0">
      <alignment horizontal="left" vertical="top" indent="1"/>
    </xf>
    <xf numFmtId="0" fontId="5" fillId="59" borderId="128" applyNumberFormat="0" applyProtection="0">
      <alignment horizontal="left" vertical="top" indent="1"/>
    </xf>
    <xf numFmtId="0" fontId="5" fillId="44" borderId="128" applyNumberFormat="0" applyProtection="0">
      <alignment horizontal="left" vertical="top" indent="1"/>
    </xf>
    <xf numFmtId="0" fontId="5" fillId="34" borderId="127" applyNumberFormat="0" applyProtection="0">
      <alignment horizontal="left" vertical="center" indent="1"/>
    </xf>
    <xf numFmtId="4" fontId="5" fillId="59" borderId="127" applyNumberFormat="0" applyProtection="0">
      <alignment horizontal="right" vertical="center"/>
    </xf>
    <xf numFmtId="4" fontId="5" fillId="0" borderId="127" applyNumberFormat="0" applyProtection="0">
      <alignment horizontal="right" vertical="center"/>
    </xf>
    <xf numFmtId="4" fontId="111" fillId="15" borderId="127" applyNumberFormat="0" applyProtection="0">
      <alignment horizontal="right" vertical="center"/>
    </xf>
    <xf numFmtId="0" fontId="5" fillId="61" borderId="127" applyNumberFormat="0" applyProtection="0">
      <alignment horizontal="left" vertical="center" indent="1"/>
    </xf>
    <xf numFmtId="0" fontId="5" fillId="44" borderId="127" applyNumberFormat="0" applyProtection="0">
      <alignment horizontal="left" vertical="center" indent="1"/>
    </xf>
    <xf numFmtId="0" fontId="5" fillId="62" borderId="127" applyNumberFormat="0" applyProtection="0">
      <alignment horizontal="left" vertical="center" indent="1"/>
    </xf>
    <xf numFmtId="4" fontId="112" fillId="63" borderId="127" applyNumberFormat="0" applyProtection="0">
      <alignment horizontal="right" vertical="center"/>
    </xf>
    <xf numFmtId="4" fontId="5" fillId="50" borderId="127" applyNumberFormat="0" applyProtection="0">
      <alignment horizontal="left" vertical="center" indent="1"/>
    </xf>
    <xf numFmtId="4" fontId="5" fillId="0" borderId="127" applyNumberFormat="0" applyProtection="0">
      <alignment horizontal="right" vertical="center"/>
    </xf>
    <xf numFmtId="0" fontId="5" fillId="34" borderId="127" applyNumberFormat="0" applyProtection="0">
      <alignment horizontal="left" vertical="center" indent="1"/>
    </xf>
    <xf numFmtId="0" fontId="5" fillId="59" borderId="128" applyNumberFormat="0" applyProtection="0">
      <alignment horizontal="left" vertical="top" indent="1"/>
    </xf>
    <xf numFmtId="4" fontId="112" fillId="63" borderId="127" applyNumberFormat="0" applyProtection="0">
      <alignment horizontal="right" vertical="center"/>
    </xf>
    <xf numFmtId="0" fontId="5" fillId="62" borderId="127" applyNumberFormat="0" applyProtection="0">
      <alignment horizontal="left" vertical="center" indent="1"/>
    </xf>
    <xf numFmtId="0" fontId="5" fillId="44" borderId="127" applyNumberFormat="0" applyProtection="0">
      <alignment horizontal="left" vertical="center" indent="1"/>
    </xf>
    <xf numFmtId="0" fontId="5" fillId="61" borderId="127" applyNumberFormat="0" applyProtection="0">
      <alignment horizontal="left" vertical="center" indent="1"/>
    </xf>
    <xf numFmtId="4" fontId="5" fillId="59" borderId="127" applyNumberFormat="0" applyProtection="0">
      <alignment horizontal="right" vertical="center"/>
    </xf>
    <xf numFmtId="0" fontId="94" fillId="58" borderId="130" applyNumberFormat="0" applyFont="0" applyAlignment="0" applyProtection="0"/>
    <xf numFmtId="0" fontId="5" fillId="44" borderId="128" applyNumberFormat="0" applyProtection="0">
      <alignment horizontal="left" vertical="top" indent="1"/>
    </xf>
    <xf numFmtId="0" fontId="5" fillId="60" borderId="128" applyNumberFormat="0" applyProtection="0">
      <alignment horizontal="left" vertical="top" indent="1"/>
    </xf>
    <xf numFmtId="0" fontId="94" fillId="58" borderId="130" applyNumberFormat="0" applyFont="0" applyAlignment="0" applyProtection="0"/>
    <xf numFmtId="166" fontId="1" fillId="0" borderId="0" applyFont="0" applyFill="0" applyBorder="0" applyAlignment="0" applyProtection="0"/>
    <xf numFmtId="0" fontId="2" fillId="0" borderId="134">
      <alignment horizontal="left" vertical="center"/>
    </xf>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10"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8" fillId="0" borderId="0" applyFont="0" applyFill="0" applyBorder="0" applyAlignment="0" applyProtection="0"/>
    <xf numFmtId="5" fontId="36" fillId="0" borderId="47" applyAlignment="0" applyProtection="0"/>
    <xf numFmtId="0" fontId="94" fillId="58" borderId="130" applyNumberFormat="0" applyFont="0" applyAlignment="0" applyProtection="0"/>
    <xf numFmtId="0" fontId="5" fillId="44" borderId="128" applyNumberFormat="0" applyProtection="0">
      <alignment horizontal="left" vertical="top" indent="1"/>
    </xf>
    <xf numFmtId="187" fontId="50" fillId="0" borderId="47"/>
    <xf numFmtId="0" fontId="5" fillId="60" borderId="128" applyNumberFormat="0" applyProtection="0">
      <alignment horizontal="left" vertical="top" indent="1"/>
    </xf>
    <xf numFmtId="4" fontId="38" fillId="32" borderId="131" applyNumberFormat="0" applyProtection="0">
      <alignment horizontal="left" vertical="center" indent="1"/>
    </xf>
    <xf numFmtId="4" fontId="38" fillId="26" borderId="131" applyNumberFormat="0" applyProtection="0">
      <alignment horizontal="right" vertical="center"/>
    </xf>
    <xf numFmtId="4" fontId="38" fillId="18" borderId="131" applyNumberFormat="0" applyProtection="0">
      <alignment vertical="center"/>
    </xf>
    <xf numFmtId="4" fontId="64" fillId="18" borderId="131" applyNumberFormat="0" applyProtection="0">
      <alignment vertical="center"/>
    </xf>
    <xf numFmtId="4" fontId="38" fillId="18" borderId="131" applyNumberFormat="0" applyProtection="0">
      <alignment horizontal="left" vertical="center" indent="1"/>
    </xf>
    <xf numFmtId="4" fontId="38" fillId="18" borderId="131" applyNumberFormat="0" applyProtection="0">
      <alignment horizontal="left" vertical="center" indent="1"/>
    </xf>
    <xf numFmtId="0" fontId="1" fillId="19" borderId="131" applyNumberFormat="0" applyProtection="0">
      <alignment horizontal="left" vertical="center" indent="1"/>
    </xf>
    <xf numFmtId="4" fontId="38" fillId="20" borderId="131" applyNumberFormat="0" applyProtection="0">
      <alignment horizontal="right" vertical="center"/>
    </xf>
    <xf numFmtId="4" fontId="38" fillId="21" borderId="131" applyNumberFormat="0" applyProtection="0">
      <alignment horizontal="right" vertical="center"/>
    </xf>
    <xf numFmtId="4" fontId="38" fillId="22" borderId="131" applyNumberFormat="0" applyProtection="0">
      <alignment horizontal="right" vertical="center"/>
    </xf>
    <xf numFmtId="4" fontId="38" fillId="23" borderId="131" applyNumberFormat="0" applyProtection="0">
      <alignment horizontal="right" vertical="center"/>
    </xf>
    <xf numFmtId="4" fontId="38" fillId="24" borderId="131" applyNumberFormat="0" applyProtection="0">
      <alignment horizontal="right" vertical="center"/>
    </xf>
    <xf numFmtId="4" fontId="38" fillId="25" borderId="131" applyNumberFormat="0" applyProtection="0">
      <alignment horizontal="right" vertical="center"/>
    </xf>
    <xf numFmtId="4" fontId="38" fillId="26" borderId="131" applyNumberFormat="0" applyProtection="0">
      <alignment horizontal="right" vertical="center"/>
    </xf>
    <xf numFmtId="4" fontId="38" fillId="27" borderId="131" applyNumberFormat="0" applyProtection="0">
      <alignment horizontal="right" vertical="center"/>
    </xf>
    <xf numFmtId="4" fontId="38" fillId="28" borderId="131" applyNumberFormat="0" applyProtection="0">
      <alignment horizontal="right" vertical="center"/>
    </xf>
    <xf numFmtId="4" fontId="65" fillId="29" borderId="131" applyNumberFormat="0" applyProtection="0">
      <alignment horizontal="left" vertical="center" indent="1"/>
    </xf>
    <xf numFmtId="4" fontId="38" fillId="30" borderId="126" applyNumberFormat="0" applyProtection="0">
      <alignment horizontal="left" vertical="center" indent="1"/>
    </xf>
    <xf numFmtId="0" fontId="1" fillId="19" borderId="131" applyNumberFormat="0" applyProtection="0">
      <alignment horizontal="left" vertical="center" indent="1"/>
    </xf>
    <xf numFmtId="4" fontId="38" fillId="30" borderId="131" applyNumberFormat="0" applyProtection="0">
      <alignment horizontal="left" vertical="center" indent="1"/>
    </xf>
    <xf numFmtId="4" fontId="38" fillId="32" borderId="131" applyNumberFormat="0" applyProtection="0">
      <alignment horizontal="left" vertical="center" indent="1"/>
    </xf>
    <xf numFmtId="0" fontId="1" fillId="32" borderId="131" applyNumberFormat="0" applyProtection="0">
      <alignment horizontal="left" vertical="center" indent="1"/>
    </xf>
    <xf numFmtId="0" fontId="1" fillId="32" borderId="131" applyNumberFormat="0" applyProtection="0">
      <alignment horizontal="left" vertical="center" indent="1"/>
    </xf>
    <xf numFmtId="0" fontId="1" fillId="33" borderId="131" applyNumberFormat="0" applyProtection="0">
      <alignment horizontal="left" vertical="center" indent="1"/>
    </xf>
    <xf numFmtId="0" fontId="1" fillId="33" borderId="131" applyNumberFormat="0" applyProtection="0">
      <alignment horizontal="left" vertical="center" indent="1"/>
    </xf>
    <xf numFmtId="0" fontId="1" fillId="2" borderId="131" applyNumberFormat="0" applyProtection="0">
      <alignment horizontal="left" vertical="center" indent="1"/>
    </xf>
    <xf numFmtId="0" fontId="1" fillId="2" borderId="131" applyNumberFormat="0" applyProtection="0">
      <alignment horizontal="left" vertical="center" indent="1"/>
    </xf>
    <xf numFmtId="0" fontId="1" fillId="19" borderId="131" applyNumberFormat="0" applyProtection="0">
      <alignment horizontal="left" vertical="center" indent="1"/>
    </xf>
    <xf numFmtId="0" fontId="1" fillId="19" borderId="131" applyNumberFormat="0" applyProtection="0">
      <alignment horizontal="left" vertical="center" indent="1"/>
    </xf>
    <xf numFmtId="4" fontId="38" fillId="3" borderId="131" applyNumberFormat="0" applyProtection="0">
      <alignment vertical="center"/>
    </xf>
    <xf numFmtId="4" fontId="64" fillId="3" borderId="131" applyNumberFormat="0" applyProtection="0">
      <alignment vertical="center"/>
    </xf>
    <xf numFmtId="4" fontId="38" fillId="3" borderId="131" applyNumberFormat="0" applyProtection="0">
      <alignment horizontal="left" vertical="center" indent="1"/>
    </xf>
    <xf numFmtId="4" fontId="38" fillId="3" borderId="131" applyNumberFormat="0" applyProtection="0">
      <alignment horizontal="left" vertical="center" indent="1"/>
    </xf>
    <xf numFmtId="4" fontId="38" fillId="30" borderId="131" applyNumberFormat="0" applyProtection="0">
      <alignment horizontal="right" vertical="center"/>
    </xf>
    <xf numFmtId="4" fontId="64" fillId="30" borderId="131" applyNumberFormat="0" applyProtection="0">
      <alignment horizontal="right" vertical="center"/>
    </xf>
    <xf numFmtId="0" fontId="1" fillId="19" borderId="131" applyNumberFormat="0" applyProtection="0">
      <alignment horizontal="left" vertical="center" indent="1"/>
    </xf>
    <xf numFmtId="0" fontId="1" fillId="19" borderId="131" applyNumberFormat="0" applyProtection="0">
      <alignment horizontal="left" vertical="center" indent="1"/>
    </xf>
    <xf numFmtId="4" fontId="68" fillId="30" borderId="131" applyNumberFormat="0" applyProtection="0">
      <alignment horizontal="right" vertical="center"/>
    </xf>
    <xf numFmtId="5" fontId="77" fillId="30" borderId="120">
      <alignment vertical="top"/>
    </xf>
    <xf numFmtId="6" fontId="79" fillId="36" borderId="120"/>
    <xf numFmtId="5" fontId="55" fillId="0" borderId="120">
      <alignment horizontal="left" vertical="top"/>
    </xf>
    <xf numFmtId="0" fontId="97" fillId="34" borderId="122" applyNumberFormat="0" applyAlignment="0" applyProtection="0"/>
    <xf numFmtId="43" fontId="29" fillId="0" borderId="0" applyFont="0" applyFill="0" applyBorder="0" applyAlignment="0" applyProtection="0"/>
    <xf numFmtId="0" fontId="1" fillId="19" borderId="131" applyNumberFormat="0" applyProtection="0">
      <alignment horizontal="left" vertical="center" indent="1"/>
    </xf>
    <xf numFmtId="0" fontId="104" fillId="43" borderId="122" applyNumberFormat="0" applyAlignment="0" applyProtection="0"/>
    <xf numFmtId="5" fontId="36" fillId="0" borderId="47" applyAlignment="0" applyProtection="0"/>
    <xf numFmtId="0" fontId="1" fillId="19" borderId="131" applyNumberFormat="0" applyProtection="0">
      <alignment horizontal="left" vertical="center" indent="1"/>
    </xf>
    <xf numFmtId="0" fontId="94" fillId="58" borderId="130" applyNumberFormat="0" applyFont="0" applyAlignment="0" applyProtection="0"/>
    <xf numFmtId="0" fontId="1" fillId="58" borderId="130" applyNumberFormat="0" applyFont="0" applyAlignment="0" applyProtection="0"/>
    <xf numFmtId="0" fontId="107" fillId="34" borderId="131" applyNumberFormat="0" applyAlignment="0" applyProtection="0"/>
    <xf numFmtId="0" fontId="109" fillId="0" borderId="132" applyNumberFormat="0" applyFill="0" applyAlignment="0" applyProtection="0"/>
    <xf numFmtId="4" fontId="5" fillId="0" borderId="127" applyNumberFormat="0" applyProtection="0">
      <alignment horizontal="right" vertical="center"/>
    </xf>
    <xf numFmtId="4" fontId="111" fillId="15" borderId="127" applyNumberFormat="0" applyProtection="0">
      <alignment horizontal="right" vertical="center"/>
    </xf>
    <xf numFmtId="4" fontId="5" fillId="50" borderId="127" applyNumberFormat="0" applyProtection="0">
      <alignment horizontal="left" vertical="center" indent="1"/>
    </xf>
    <xf numFmtId="0" fontId="5" fillId="60" borderId="128" applyNumberFormat="0" applyProtection="0">
      <alignment horizontal="left" vertical="top" indent="1"/>
    </xf>
    <xf numFmtId="0" fontId="5" fillId="59" borderId="128" applyNumberFormat="0" applyProtection="0">
      <alignment horizontal="left" vertical="top" indent="1"/>
    </xf>
    <xf numFmtId="0" fontId="5" fillId="44" borderId="128" applyNumberFormat="0" applyProtection="0">
      <alignment horizontal="left" vertical="top" indent="1"/>
    </xf>
    <xf numFmtId="0" fontId="5" fillId="34" borderId="127" applyNumberFormat="0" applyProtection="0">
      <alignment horizontal="left" vertical="center" indent="1"/>
    </xf>
    <xf numFmtId="4" fontId="5" fillId="59" borderId="127" applyNumberFormat="0" applyProtection="0">
      <alignment horizontal="right" vertical="center"/>
    </xf>
    <xf numFmtId="4" fontId="5" fillId="0" borderId="127" applyNumberFormat="0" applyProtection="0">
      <alignment horizontal="right" vertical="center"/>
    </xf>
    <xf numFmtId="4" fontId="111" fillId="15" borderId="127" applyNumberFormat="0" applyProtection="0">
      <alignment horizontal="right" vertical="center"/>
    </xf>
    <xf numFmtId="0" fontId="5" fillId="61" borderId="127" applyNumberFormat="0" applyProtection="0">
      <alignment horizontal="left" vertical="center" indent="1"/>
    </xf>
    <xf numFmtId="0" fontId="5" fillId="44" borderId="127" applyNumberFormat="0" applyProtection="0">
      <alignment horizontal="left" vertical="center" indent="1"/>
    </xf>
    <xf numFmtId="0" fontId="5" fillId="62" borderId="127" applyNumberFormat="0" applyProtection="0">
      <alignment horizontal="left" vertical="center" indent="1"/>
    </xf>
    <xf numFmtId="4" fontId="112" fillId="63" borderId="127" applyNumberFormat="0" applyProtection="0">
      <alignment horizontal="right" vertical="center"/>
    </xf>
    <xf numFmtId="4" fontId="5" fillId="50" borderId="127" applyNumberFormat="0" applyProtection="0">
      <alignment horizontal="left" vertical="center" indent="1"/>
    </xf>
    <xf numFmtId="4" fontId="5" fillId="0" borderId="127" applyNumberFormat="0" applyProtection="0">
      <alignment horizontal="right" vertical="center"/>
    </xf>
    <xf numFmtId="0" fontId="5" fillId="34" borderId="127" applyNumberFormat="0" applyProtection="0">
      <alignment horizontal="left" vertical="center" indent="1"/>
    </xf>
    <xf numFmtId="0" fontId="5" fillId="59" borderId="128" applyNumberFormat="0" applyProtection="0">
      <alignment horizontal="left" vertical="top" indent="1"/>
    </xf>
    <xf numFmtId="4" fontId="112" fillId="63" borderId="127" applyNumberFormat="0" applyProtection="0">
      <alignment horizontal="right" vertical="center"/>
    </xf>
    <xf numFmtId="0" fontId="5" fillId="62" borderId="127" applyNumberFormat="0" applyProtection="0">
      <alignment horizontal="left" vertical="center" indent="1"/>
    </xf>
    <xf numFmtId="0" fontId="5" fillId="44" borderId="127" applyNumberFormat="0" applyProtection="0">
      <alignment horizontal="left" vertical="center" indent="1"/>
    </xf>
    <xf numFmtId="0" fontId="5" fillId="61" borderId="127" applyNumberFormat="0" applyProtection="0">
      <alignment horizontal="left" vertical="center" indent="1"/>
    </xf>
    <xf numFmtId="4" fontId="5" fillId="59" borderId="127" applyNumberFormat="0" applyProtection="0">
      <alignment horizontal="right" vertical="center"/>
    </xf>
    <xf numFmtId="0" fontId="94" fillId="58" borderId="130" applyNumberFormat="0" applyFont="0" applyAlignment="0" applyProtection="0"/>
    <xf numFmtId="0" fontId="5" fillId="44" borderId="128" applyNumberFormat="0" applyProtection="0">
      <alignment horizontal="left" vertical="top" indent="1"/>
    </xf>
    <xf numFmtId="0" fontId="5" fillId="60" borderId="128" applyNumberFormat="0" applyProtection="0">
      <alignment horizontal="left" vertical="top" indent="1"/>
    </xf>
    <xf numFmtId="0" fontId="94" fillId="58" borderId="130" applyNumberFormat="0" applyFont="0" applyAlignment="0" applyProtection="0"/>
    <xf numFmtId="4" fontId="5" fillId="59" borderId="127" applyNumberFormat="0" applyProtection="0">
      <alignment horizontal="right" vertical="center"/>
    </xf>
    <xf numFmtId="4" fontId="38" fillId="3" borderId="131" applyNumberFormat="0" applyProtection="0">
      <alignment horizontal="left" vertical="center" indent="1"/>
    </xf>
    <xf numFmtId="0" fontId="1" fillId="33" borderId="131" applyNumberFormat="0" applyProtection="0">
      <alignment horizontal="left" vertical="center" indent="1"/>
    </xf>
    <xf numFmtId="4" fontId="68" fillId="30" borderId="131" applyNumberFormat="0" applyProtection="0">
      <alignment horizontal="right" vertical="center"/>
    </xf>
    <xf numFmtId="0" fontId="1" fillId="19" borderId="131" applyNumberFormat="0" applyProtection="0">
      <alignment horizontal="left" vertical="center" indent="1"/>
    </xf>
    <xf numFmtId="0" fontId="1" fillId="19" borderId="131" applyNumberFormat="0" applyProtection="0">
      <alignment horizontal="left" vertical="center" indent="1"/>
    </xf>
    <xf numFmtId="4" fontId="64" fillId="30" borderId="131" applyNumberFormat="0" applyProtection="0">
      <alignment horizontal="right" vertical="center"/>
    </xf>
    <xf numFmtId="4" fontId="38" fillId="30" borderId="131" applyNumberFormat="0" applyProtection="0">
      <alignment horizontal="right" vertical="center"/>
    </xf>
    <xf numFmtId="4" fontId="38" fillId="3" borderId="131" applyNumberFormat="0" applyProtection="0">
      <alignment horizontal="left" vertical="center" indent="1"/>
    </xf>
    <xf numFmtId="4" fontId="64" fillId="3" borderId="131" applyNumberFormat="0" applyProtection="0">
      <alignment vertical="center"/>
    </xf>
    <xf numFmtId="4" fontId="38" fillId="3" borderId="131" applyNumberFormat="0" applyProtection="0">
      <alignment vertical="center"/>
    </xf>
    <xf numFmtId="0" fontId="1" fillId="19" borderId="131" applyNumberFormat="0" applyProtection="0">
      <alignment horizontal="left" vertical="center" indent="1"/>
    </xf>
    <xf numFmtId="0" fontId="1" fillId="19" borderId="131" applyNumberFormat="0" applyProtection="0">
      <alignment horizontal="left" vertical="center" indent="1"/>
    </xf>
    <xf numFmtId="0" fontId="1" fillId="2" borderId="131" applyNumberFormat="0" applyProtection="0">
      <alignment horizontal="left" vertical="center" indent="1"/>
    </xf>
    <xf numFmtId="0" fontId="1" fillId="2" borderId="131" applyNumberFormat="0" applyProtection="0">
      <alignment horizontal="left" vertical="center" indent="1"/>
    </xf>
    <xf numFmtId="0" fontId="1" fillId="33" borderId="131" applyNumberFormat="0" applyProtection="0">
      <alignment horizontal="left" vertical="center" indent="1"/>
    </xf>
    <xf numFmtId="0" fontId="1" fillId="33" borderId="131" applyNumberFormat="0" applyProtection="0">
      <alignment horizontal="left" vertical="center" indent="1"/>
    </xf>
    <xf numFmtId="0" fontId="1" fillId="32" borderId="131" applyNumberFormat="0" applyProtection="0">
      <alignment horizontal="left" vertical="center" indent="1"/>
    </xf>
    <xf numFmtId="0" fontId="1" fillId="32" borderId="131" applyNumberFormat="0" applyProtection="0">
      <alignment horizontal="left" vertical="center" indent="1"/>
    </xf>
    <xf numFmtId="4" fontId="38" fillId="32" borderId="131" applyNumberFormat="0" applyProtection="0">
      <alignment horizontal="left" vertical="center" indent="1"/>
    </xf>
    <xf numFmtId="4" fontId="38" fillId="30" borderId="131" applyNumberFormat="0" applyProtection="0">
      <alignment horizontal="left" vertical="center" indent="1"/>
    </xf>
    <xf numFmtId="0" fontId="1" fillId="19" borderId="131" applyNumberFormat="0" applyProtection="0">
      <alignment horizontal="left" vertical="center" indent="1"/>
    </xf>
    <xf numFmtId="4" fontId="38" fillId="30" borderId="126" applyNumberFormat="0" applyProtection="0">
      <alignment horizontal="left" vertical="center" indent="1"/>
    </xf>
    <xf numFmtId="4" fontId="65" fillId="29" borderId="131" applyNumberFormat="0" applyProtection="0">
      <alignment horizontal="left" vertical="center" indent="1"/>
    </xf>
    <xf numFmtId="4" fontId="38" fillId="23" borderId="131" applyNumberFormat="0" applyProtection="0">
      <alignment horizontal="right" vertical="center"/>
    </xf>
    <xf numFmtId="0" fontId="1" fillId="19" borderId="131" applyNumberFormat="0" applyProtection="0">
      <alignment horizontal="left" vertical="center" indent="1"/>
    </xf>
    <xf numFmtId="4" fontId="38" fillId="18" borderId="131" applyNumberFormat="0" applyProtection="0">
      <alignment horizontal="left" vertical="center" indent="1"/>
    </xf>
    <xf numFmtId="4" fontId="38" fillId="18" borderId="131" applyNumberFormat="0" applyProtection="0">
      <alignment horizontal="left" vertical="center" indent="1"/>
    </xf>
    <xf numFmtId="4" fontId="64" fillId="18" borderId="131" applyNumberFormat="0" applyProtection="0">
      <alignment vertical="center"/>
    </xf>
    <xf numFmtId="4" fontId="38" fillId="18" borderId="131" applyNumberFormat="0" applyProtection="0">
      <alignment vertical="center"/>
    </xf>
    <xf numFmtId="0" fontId="109" fillId="0" borderId="132" applyNumberFormat="0" applyFill="0" applyAlignment="0" applyProtection="0"/>
    <xf numFmtId="0" fontId="107" fillId="34" borderId="131" applyNumberFormat="0" applyAlignment="0" applyProtection="0"/>
    <xf numFmtId="4" fontId="38" fillId="28" borderId="131" applyNumberFormat="0" applyProtection="0">
      <alignment horizontal="right" vertical="center"/>
    </xf>
    <xf numFmtId="0" fontId="97" fillId="34" borderId="122" applyNumberFormat="0" applyAlignment="0" applyProtection="0"/>
    <xf numFmtId="0" fontId="1" fillId="32" borderId="131" applyNumberFormat="0" applyProtection="0">
      <alignment horizontal="left" vertical="center" indent="1"/>
    </xf>
    <xf numFmtId="4" fontId="38" fillId="24" borderId="131" applyNumberFormat="0" applyProtection="0">
      <alignment horizontal="right" vertical="center"/>
    </xf>
    <xf numFmtId="0" fontId="104" fillId="43" borderId="122" applyNumberFormat="0" applyAlignment="0" applyProtection="0"/>
    <xf numFmtId="4" fontId="38" fillId="26" borderId="131" applyNumberFormat="0" applyProtection="0">
      <alignment horizontal="right" vertical="center"/>
    </xf>
    <xf numFmtId="4" fontId="38" fillId="26" borderId="131" applyNumberFormat="0" applyProtection="0">
      <alignment horizontal="right" vertical="center"/>
    </xf>
    <xf numFmtId="0" fontId="1" fillId="58" borderId="130" applyNumberFormat="0" applyFont="0" applyAlignment="0" applyProtection="0"/>
    <xf numFmtId="4" fontId="38" fillId="27" borderId="131" applyNumberFormat="0" applyProtection="0">
      <alignment horizontal="right" vertical="center"/>
    </xf>
    <xf numFmtId="4" fontId="38" fillId="25" borderId="131" applyNumberFormat="0" applyProtection="0">
      <alignment horizontal="right" vertical="center"/>
    </xf>
    <xf numFmtId="4" fontId="38" fillId="22" borderId="131" applyNumberFormat="0" applyProtection="0">
      <alignment horizontal="right" vertical="center"/>
    </xf>
    <xf numFmtId="0" fontId="1" fillId="19" borderId="131" applyNumberFormat="0" applyProtection="0">
      <alignment horizontal="left" vertical="center" indent="1"/>
    </xf>
    <xf numFmtId="0" fontId="1" fillId="58" borderId="130" applyNumberFormat="0" applyFont="0" applyAlignment="0" applyProtection="0"/>
    <xf numFmtId="5" fontId="55" fillId="0" borderId="120">
      <alignment horizontal="left" vertical="top"/>
    </xf>
    <xf numFmtId="0" fontId="1" fillId="19" borderId="131" applyNumberFormat="0" applyProtection="0">
      <alignment horizontal="left" vertical="center" indent="1"/>
    </xf>
    <xf numFmtId="4" fontId="38" fillId="32" borderId="131" applyNumberFormat="0" applyProtection="0">
      <alignment horizontal="left" vertical="center" indent="1"/>
    </xf>
    <xf numFmtId="0" fontId="1" fillId="32" borderId="131" applyNumberFormat="0" applyProtection="0">
      <alignment horizontal="left" vertical="center" indent="1"/>
    </xf>
    <xf numFmtId="0" fontId="1" fillId="2" borderId="131" applyNumberFormat="0" applyProtection="0">
      <alignment horizontal="left" vertical="center" indent="1"/>
    </xf>
    <xf numFmtId="4" fontId="38" fillId="3" borderId="131" applyNumberFormat="0" applyProtection="0">
      <alignment horizontal="left" vertical="center" indent="1"/>
    </xf>
    <xf numFmtId="0" fontId="107" fillId="34" borderId="131" applyNumberFormat="0" applyAlignment="0" applyProtection="0"/>
    <xf numFmtId="0" fontId="109" fillId="0" borderId="132" applyNumberFormat="0" applyFill="0" applyAlignment="0" applyProtection="0"/>
    <xf numFmtId="4" fontId="5" fillId="59" borderId="127" applyNumberFormat="0" applyProtection="0">
      <alignment horizontal="right" vertical="center"/>
    </xf>
    <xf numFmtId="0" fontId="5" fillId="34" borderId="127" applyNumberFormat="0" applyProtection="0">
      <alignment horizontal="left" vertical="center" indent="1"/>
    </xf>
    <xf numFmtId="0" fontId="5" fillId="44" borderId="128" applyNumberFormat="0" applyProtection="0">
      <alignment horizontal="left" vertical="top" indent="1"/>
    </xf>
    <xf numFmtId="0" fontId="5" fillId="59" borderId="128" applyNumberFormat="0" applyProtection="0">
      <alignment horizontal="left" vertical="top" indent="1"/>
    </xf>
    <xf numFmtId="0" fontId="5" fillId="60" borderId="128" applyNumberFormat="0" applyProtection="0">
      <alignment horizontal="left" vertical="top" indent="1"/>
    </xf>
    <xf numFmtId="4" fontId="5" fillId="50" borderId="127" applyNumberFormat="0" applyProtection="0">
      <alignment horizontal="left" vertical="center" indent="1"/>
    </xf>
    <xf numFmtId="4" fontId="111" fillId="15" borderId="127" applyNumberFormat="0" applyProtection="0">
      <alignment horizontal="right" vertical="center"/>
    </xf>
    <xf numFmtId="4" fontId="5" fillId="0" borderId="127" applyNumberFormat="0" applyProtection="0">
      <alignment horizontal="right" vertical="center"/>
    </xf>
    <xf numFmtId="4" fontId="38" fillId="25" borderId="131" applyNumberFormat="0" applyProtection="0">
      <alignment horizontal="right" vertical="center"/>
    </xf>
    <xf numFmtId="6" fontId="79" fillId="36" borderId="120"/>
    <xf numFmtId="5" fontId="77" fillId="30" borderId="120">
      <alignment vertical="top"/>
    </xf>
    <xf numFmtId="0" fontId="2" fillId="0" borderId="134">
      <alignment horizontal="left" vertical="center"/>
    </xf>
    <xf numFmtId="0" fontId="1" fillId="33" borderId="131" applyNumberFormat="0" applyProtection="0">
      <alignment horizontal="left" vertical="center" indent="1"/>
    </xf>
    <xf numFmtId="0" fontId="1" fillId="2" borderId="131" applyNumberFormat="0" applyProtection="0">
      <alignment horizontal="left" vertical="center" indent="1"/>
    </xf>
    <xf numFmtId="0" fontId="1" fillId="19" borderId="131" applyNumberFormat="0" applyProtection="0">
      <alignment horizontal="left" vertical="center" indent="1"/>
    </xf>
    <xf numFmtId="0" fontId="1" fillId="19" borderId="131" applyNumberFormat="0" applyProtection="0">
      <alignment horizontal="left" vertical="center" indent="1"/>
    </xf>
    <xf numFmtId="4" fontId="38" fillId="3" borderId="131" applyNumberFormat="0" applyProtection="0">
      <alignment vertical="center"/>
    </xf>
    <xf numFmtId="4" fontId="64" fillId="3" borderId="131" applyNumberFormat="0" applyProtection="0">
      <alignment vertical="center"/>
    </xf>
    <xf numFmtId="4" fontId="38" fillId="3" borderId="131" applyNumberFormat="0" applyProtection="0">
      <alignment horizontal="left" vertical="center" indent="1"/>
    </xf>
    <xf numFmtId="4" fontId="38" fillId="30" borderId="131" applyNumberFormat="0" applyProtection="0">
      <alignment horizontal="right" vertical="center"/>
    </xf>
    <xf numFmtId="4" fontId="64" fillId="30" borderId="131" applyNumberFormat="0" applyProtection="0">
      <alignment horizontal="right" vertical="center"/>
    </xf>
    <xf numFmtId="0" fontId="1" fillId="19" borderId="131" applyNumberFormat="0" applyProtection="0">
      <alignment horizontal="left" vertical="center" indent="1"/>
    </xf>
    <xf numFmtId="4" fontId="68" fillId="30" borderId="131" applyNumberFormat="0" applyProtection="0">
      <alignment horizontal="right" vertical="center"/>
    </xf>
    <xf numFmtId="4" fontId="38" fillId="18" borderId="131" applyNumberFormat="0" applyProtection="0">
      <alignment horizontal="left" vertical="center" indent="1"/>
    </xf>
    <xf numFmtId="0" fontId="1" fillId="19" borderId="131" applyNumberFormat="0" applyProtection="0">
      <alignment horizontal="left" vertical="center" indent="1"/>
    </xf>
    <xf numFmtId="4" fontId="38" fillId="20" borderId="131" applyNumberFormat="0" applyProtection="0">
      <alignment horizontal="right" vertical="center"/>
    </xf>
    <xf numFmtId="4" fontId="38" fillId="21" borderId="131" applyNumberFormat="0" applyProtection="0">
      <alignment horizontal="right" vertical="center"/>
    </xf>
    <xf numFmtId="4" fontId="38" fillId="22" borderId="131" applyNumberFormat="0" applyProtection="0">
      <alignment horizontal="right" vertical="center"/>
    </xf>
    <xf numFmtId="0" fontId="2" fillId="0" borderId="129">
      <alignment horizontal="left" vertical="center"/>
    </xf>
    <xf numFmtId="4" fontId="38" fillId="23" borderId="131" applyNumberFormat="0" applyProtection="0">
      <alignment horizontal="right" vertical="center"/>
    </xf>
    <xf numFmtId="4" fontId="38" fillId="30" borderId="131" applyNumberFormat="0" applyProtection="0">
      <alignment horizontal="left" vertical="center" indent="1"/>
    </xf>
    <xf numFmtId="4" fontId="38" fillId="18" borderId="131" applyNumberFormat="0" applyProtection="0">
      <alignment vertical="center"/>
    </xf>
    <xf numFmtId="4" fontId="64" fillId="18" borderId="131" applyNumberFormat="0" applyProtection="0">
      <alignment vertical="center"/>
    </xf>
    <xf numFmtId="4" fontId="38" fillId="18" borderId="131" applyNumberFormat="0" applyProtection="0">
      <alignment horizontal="left" vertical="center" indent="1"/>
    </xf>
    <xf numFmtId="4" fontId="5" fillId="0" borderId="127" applyNumberFormat="0" applyProtection="0">
      <alignment horizontal="right" vertical="center"/>
    </xf>
    <xf numFmtId="4" fontId="111" fillId="15" borderId="127" applyNumberFormat="0" applyProtection="0">
      <alignment horizontal="right" vertical="center"/>
    </xf>
    <xf numFmtId="4" fontId="5" fillId="50" borderId="127" applyNumberFormat="0" applyProtection="0">
      <alignment horizontal="left" vertical="center" indent="1"/>
    </xf>
    <xf numFmtId="0" fontId="5" fillId="60" borderId="128" applyNumberFormat="0" applyProtection="0">
      <alignment horizontal="left" vertical="top" indent="1"/>
    </xf>
    <xf numFmtId="0" fontId="5" fillId="59" borderId="128" applyNumberFormat="0" applyProtection="0">
      <alignment horizontal="left" vertical="top" indent="1"/>
    </xf>
    <xf numFmtId="0" fontId="5" fillId="44" borderId="128" applyNumberFormat="0" applyProtection="0">
      <alignment horizontal="left" vertical="top" indent="1"/>
    </xf>
    <xf numFmtId="0" fontId="5" fillId="34" borderId="127" applyNumberFormat="0" applyProtection="0">
      <alignment horizontal="left" vertical="center" indent="1"/>
    </xf>
    <xf numFmtId="4" fontId="5" fillId="59" borderId="127" applyNumberFormat="0" applyProtection="0">
      <alignment horizontal="right" vertical="center"/>
    </xf>
    <xf numFmtId="4" fontId="5" fillId="0" borderId="127" applyNumberFormat="0" applyProtection="0">
      <alignment horizontal="right" vertical="center"/>
    </xf>
    <xf numFmtId="4" fontId="111" fillId="15" borderId="127" applyNumberFormat="0" applyProtection="0">
      <alignment horizontal="right" vertical="center"/>
    </xf>
    <xf numFmtId="0" fontId="5" fillId="61" borderId="127" applyNumberFormat="0" applyProtection="0">
      <alignment horizontal="left" vertical="center" indent="1"/>
    </xf>
    <xf numFmtId="0" fontId="5" fillId="44" borderId="127" applyNumberFormat="0" applyProtection="0">
      <alignment horizontal="left" vertical="center" indent="1"/>
    </xf>
    <xf numFmtId="0" fontId="5" fillId="62" borderId="127" applyNumberFormat="0" applyProtection="0">
      <alignment horizontal="left" vertical="center" indent="1"/>
    </xf>
    <xf numFmtId="4" fontId="112" fillId="63" borderId="127" applyNumberFormat="0" applyProtection="0">
      <alignment horizontal="right" vertical="center"/>
    </xf>
    <xf numFmtId="4" fontId="5" fillId="50" borderId="127" applyNumberFormat="0" applyProtection="0">
      <alignment horizontal="left" vertical="center" indent="1"/>
    </xf>
    <xf numFmtId="4" fontId="5" fillId="0" borderId="127" applyNumberFormat="0" applyProtection="0">
      <alignment horizontal="right" vertical="center"/>
    </xf>
    <xf numFmtId="0" fontId="5" fillId="34" borderId="127" applyNumberFormat="0" applyProtection="0">
      <alignment horizontal="left" vertical="center" indent="1"/>
    </xf>
    <xf numFmtId="0" fontId="5" fillId="59" borderId="128" applyNumberFormat="0" applyProtection="0">
      <alignment horizontal="left" vertical="top" indent="1"/>
    </xf>
    <xf numFmtId="4" fontId="38" fillId="21" borderId="131" applyNumberFormat="0" applyProtection="0">
      <alignment horizontal="right" vertical="center"/>
    </xf>
    <xf numFmtId="4" fontId="112" fillId="63" borderId="127" applyNumberFormat="0" applyProtection="0">
      <alignment horizontal="right" vertical="center"/>
    </xf>
    <xf numFmtId="0" fontId="5" fillId="62" borderId="127" applyNumberFormat="0" applyProtection="0">
      <alignment horizontal="left" vertical="center" indent="1"/>
    </xf>
    <xf numFmtId="0" fontId="5" fillId="44" borderId="127" applyNumberFormat="0" applyProtection="0">
      <alignment horizontal="left" vertical="center" indent="1"/>
    </xf>
    <xf numFmtId="0" fontId="5" fillId="61" borderId="127" applyNumberFormat="0" applyProtection="0">
      <alignment horizontal="left" vertical="center" indent="1"/>
    </xf>
    <xf numFmtId="4" fontId="5" fillId="59" borderId="127" applyNumberFormat="0" applyProtection="0">
      <alignment horizontal="right" vertical="center"/>
    </xf>
    <xf numFmtId="0" fontId="5" fillId="44" borderId="128" applyNumberFormat="0" applyProtection="0">
      <alignment horizontal="left" vertical="top" indent="1"/>
    </xf>
    <xf numFmtId="0" fontId="5" fillId="60" borderId="128" applyNumberFormat="0" applyProtection="0">
      <alignment horizontal="left" vertical="top" indent="1"/>
    </xf>
    <xf numFmtId="4" fontId="38" fillId="20" borderId="131" applyNumberFormat="0" applyProtection="0">
      <alignment horizontal="right" vertical="center"/>
    </xf>
    <xf numFmtId="0" fontId="2" fillId="0" borderId="129">
      <alignment horizontal="left" vertical="center"/>
    </xf>
    <xf numFmtId="4" fontId="5" fillId="0" borderId="127" applyNumberFormat="0" applyProtection="0">
      <alignment horizontal="right" vertical="center"/>
    </xf>
    <xf numFmtId="4" fontId="111" fillId="15" borderId="127" applyNumberFormat="0" applyProtection="0">
      <alignment horizontal="right" vertical="center"/>
    </xf>
    <xf numFmtId="0" fontId="5" fillId="61" borderId="127" applyNumberFormat="0" applyProtection="0">
      <alignment horizontal="left" vertical="center" indent="1"/>
    </xf>
    <xf numFmtId="0" fontId="5" fillId="44" borderId="127" applyNumberFormat="0" applyProtection="0">
      <alignment horizontal="left" vertical="center" indent="1"/>
    </xf>
    <xf numFmtId="0" fontId="5" fillId="62" borderId="127" applyNumberFormat="0" applyProtection="0">
      <alignment horizontal="left" vertical="center" indent="1"/>
    </xf>
    <xf numFmtId="4" fontId="112" fillId="63" borderId="127" applyNumberFormat="0" applyProtection="0">
      <alignment horizontal="right" vertical="center"/>
    </xf>
    <xf numFmtId="4" fontId="5" fillId="50" borderId="127" applyNumberFormat="0" applyProtection="0">
      <alignment horizontal="left" vertical="center" indent="1"/>
    </xf>
    <xf numFmtId="4" fontId="5" fillId="0" borderId="127" applyNumberFormat="0" applyProtection="0">
      <alignment horizontal="right" vertical="center"/>
    </xf>
    <xf numFmtId="0" fontId="5" fillId="34" borderId="127" applyNumberFormat="0" applyProtection="0">
      <alignment horizontal="left" vertical="center" indent="1"/>
    </xf>
    <xf numFmtId="0" fontId="5" fillId="59" borderId="128" applyNumberFormat="0" applyProtection="0">
      <alignment horizontal="left" vertical="top" indent="1"/>
    </xf>
    <xf numFmtId="4" fontId="38" fillId="30" borderId="126" applyNumberFormat="0" applyProtection="0">
      <alignment horizontal="left" vertical="center" indent="1"/>
    </xf>
    <xf numFmtId="4" fontId="112" fillId="63" borderId="127" applyNumberFormat="0" applyProtection="0">
      <alignment horizontal="right" vertical="center"/>
    </xf>
    <xf numFmtId="0" fontId="5" fillId="62" borderId="127" applyNumberFormat="0" applyProtection="0">
      <alignment horizontal="left" vertical="center" indent="1"/>
    </xf>
    <xf numFmtId="0" fontId="5" fillId="44" borderId="127" applyNumberFormat="0" applyProtection="0">
      <alignment horizontal="left" vertical="center" indent="1"/>
    </xf>
    <xf numFmtId="0" fontId="5" fillId="61" borderId="127" applyNumberFormat="0" applyProtection="0">
      <alignment horizontal="left" vertical="center" indent="1"/>
    </xf>
    <xf numFmtId="4" fontId="5" fillId="59" borderId="127" applyNumberFormat="0" applyProtection="0">
      <alignment horizontal="right" vertical="center"/>
    </xf>
    <xf numFmtId="0" fontId="94" fillId="58" borderId="130" applyNumberFormat="0" applyFont="0" applyAlignment="0" applyProtection="0"/>
    <xf numFmtId="0" fontId="5" fillId="44" borderId="128" applyNumberFormat="0" applyProtection="0">
      <alignment horizontal="left" vertical="top" indent="1"/>
    </xf>
    <xf numFmtId="0" fontId="5" fillId="60" borderId="128" applyNumberFormat="0" applyProtection="0">
      <alignment horizontal="left" vertical="top" indent="1"/>
    </xf>
    <xf numFmtId="4" fontId="38" fillId="28" borderId="131" applyNumberFormat="0" applyProtection="0">
      <alignment horizontal="right" vertical="center"/>
    </xf>
    <xf numFmtId="0" fontId="94" fillId="58" borderId="130" applyNumberFormat="0" applyFont="0" applyAlignment="0" applyProtection="0"/>
    <xf numFmtId="4" fontId="38" fillId="27" borderId="131" applyNumberFormat="0" applyProtection="0">
      <alignment horizontal="right" vertical="center"/>
    </xf>
    <xf numFmtId="4" fontId="38" fillId="24" borderId="131" applyNumberFormat="0" applyProtection="0">
      <alignment horizontal="right" vertical="center"/>
    </xf>
    <xf numFmtId="4" fontId="65" fillId="29" borderId="131" applyNumberFormat="0" applyProtection="0">
      <alignment horizontal="left" vertical="center" indent="1"/>
    </xf>
    <xf numFmtId="4" fontId="5" fillId="0" borderId="127" applyNumberFormat="0" applyProtection="0">
      <alignment horizontal="right" vertical="center"/>
    </xf>
    <xf numFmtId="4" fontId="111" fillId="15" borderId="127" applyNumberFormat="0" applyProtection="0">
      <alignment horizontal="right" vertical="center"/>
    </xf>
    <xf numFmtId="4" fontId="5" fillId="50" borderId="127" applyNumberFormat="0" applyProtection="0">
      <alignment horizontal="left" vertical="center" indent="1"/>
    </xf>
    <xf numFmtId="0" fontId="5" fillId="60" borderId="128" applyNumberFormat="0" applyProtection="0">
      <alignment horizontal="left" vertical="top" indent="1"/>
    </xf>
    <xf numFmtId="0" fontId="5" fillId="59" borderId="128" applyNumberFormat="0" applyProtection="0">
      <alignment horizontal="left" vertical="top" indent="1"/>
    </xf>
    <xf numFmtId="0" fontId="5" fillId="44" borderId="128" applyNumberFormat="0" applyProtection="0">
      <alignment horizontal="left" vertical="top" indent="1"/>
    </xf>
    <xf numFmtId="0" fontId="5" fillId="34" borderId="127" applyNumberFormat="0" applyProtection="0">
      <alignment horizontal="left" vertical="center" indent="1"/>
    </xf>
    <xf numFmtId="4" fontId="5" fillId="59" borderId="127" applyNumberFormat="0" applyProtection="0">
      <alignment horizontal="right" vertical="center"/>
    </xf>
    <xf numFmtId="4" fontId="5" fillId="0" borderId="127" applyNumberFormat="0" applyProtection="0">
      <alignment horizontal="right" vertical="center"/>
    </xf>
    <xf numFmtId="4" fontId="111" fillId="15" borderId="127" applyNumberFormat="0" applyProtection="0">
      <alignment horizontal="right" vertical="center"/>
    </xf>
    <xf numFmtId="0" fontId="5" fillId="61" borderId="127" applyNumberFormat="0" applyProtection="0">
      <alignment horizontal="left" vertical="center" indent="1"/>
    </xf>
    <xf numFmtId="0" fontId="5" fillId="44" borderId="127" applyNumberFormat="0" applyProtection="0">
      <alignment horizontal="left" vertical="center" indent="1"/>
    </xf>
    <xf numFmtId="0" fontId="5" fillId="62" borderId="127" applyNumberFormat="0" applyProtection="0">
      <alignment horizontal="left" vertical="center" indent="1"/>
    </xf>
    <xf numFmtId="4" fontId="112" fillId="63" borderId="127" applyNumberFormat="0" applyProtection="0">
      <alignment horizontal="right" vertical="center"/>
    </xf>
    <xf numFmtId="4" fontId="5" fillId="50" borderId="127" applyNumberFormat="0" applyProtection="0">
      <alignment horizontal="left" vertical="center" indent="1"/>
    </xf>
    <xf numFmtId="4" fontId="5" fillId="0" borderId="127" applyNumberFormat="0" applyProtection="0">
      <alignment horizontal="right" vertical="center"/>
    </xf>
    <xf numFmtId="0" fontId="5" fillId="34" borderId="127" applyNumberFormat="0" applyProtection="0">
      <alignment horizontal="left" vertical="center" indent="1"/>
    </xf>
    <xf numFmtId="0" fontId="5" fillId="59" borderId="128" applyNumberFormat="0" applyProtection="0">
      <alignment horizontal="left" vertical="top" indent="1"/>
    </xf>
    <xf numFmtId="4" fontId="112" fillId="63" borderId="127" applyNumberFormat="0" applyProtection="0">
      <alignment horizontal="right" vertical="center"/>
    </xf>
    <xf numFmtId="0" fontId="5" fillId="62" borderId="127" applyNumberFormat="0" applyProtection="0">
      <alignment horizontal="left" vertical="center" indent="1"/>
    </xf>
    <xf numFmtId="0" fontId="5" fillId="44" borderId="127" applyNumberFormat="0" applyProtection="0">
      <alignment horizontal="left" vertical="center" indent="1"/>
    </xf>
    <xf numFmtId="0" fontId="5" fillId="61" borderId="127" applyNumberFormat="0" applyProtection="0">
      <alignment horizontal="left" vertical="center" indent="1"/>
    </xf>
    <xf numFmtId="4" fontId="5" fillId="59" borderId="127" applyNumberFormat="0" applyProtection="0">
      <alignment horizontal="right" vertical="center"/>
    </xf>
    <xf numFmtId="0" fontId="94" fillId="58" borderId="130" applyNumberFormat="0" applyFont="0" applyAlignment="0" applyProtection="0"/>
    <xf numFmtId="0" fontId="5" fillId="44" borderId="128" applyNumberFormat="0" applyProtection="0">
      <alignment horizontal="left" vertical="top" indent="1"/>
    </xf>
    <xf numFmtId="0" fontId="5" fillId="60" borderId="128" applyNumberFormat="0" applyProtection="0">
      <alignment horizontal="left" vertical="top" indent="1"/>
    </xf>
    <xf numFmtId="0" fontId="94" fillId="58" borderId="130" applyNumberFormat="0" applyFont="0" applyAlignment="0" applyProtection="0"/>
    <xf numFmtId="0" fontId="5" fillId="61" borderId="127" applyNumberFormat="0" applyProtection="0">
      <alignment horizontal="left" vertical="center" indent="1"/>
    </xf>
    <xf numFmtId="0" fontId="5" fillId="44" borderId="127" applyNumberFormat="0" applyProtection="0">
      <alignment horizontal="left" vertical="center" indent="1"/>
    </xf>
    <xf numFmtId="0" fontId="5" fillId="62" borderId="127" applyNumberFormat="0" applyProtection="0">
      <alignment horizontal="left" vertical="center" indent="1"/>
    </xf>
    <xf numFmtId="4" fontId="112" fillId="63" borderId="127" applyNumberFormat="0" applyProtection="0">
      <alignment horizontal="right" vertical="center"/>
    </xf>
    <xf numFmtId="4" fontId="38" fillId="30" borderId="131" applyNumberFormat="0" applyProtection="0">
      <alignment horizontal="left" vertical="center" indent="1"/>
    </xf>
    <xf numFmtId="0" fontId="5" fillId="59" borderId="128" applyNumberFormat="0" applyProtection="0">
      <alignment horizontal="left" vertical="top" indent="1"/>
    </xf>
    <xf numFmtId="0" fontId="5" fillId="34" borderId="127" applyNumberFormat="0" applyProtection="0">
      <alignment horizontal="left" vertical="center" indent="1"/>
    </xf>
    <xf numFmtId="4" fontId="5" fillId="0" borderId="127" applyNumberFormat="0" applyProtection="0">
      <alignment horizontal="right" vertical="center"/>
    </xf>
    <xf numFmtId="4" fontId="5" fillId="50" borderId="127" applyNumberFormat="0" applyProtection="0">
      <alignment horizontal="left" vertical="center" indent="1"/>
    </xf>
    <xf numFmtId="4" fontId="112" fillId="63" borderId="127" applyNumberFormat="0" applyProtection="0">
      <alignment horizontal="right" vertical="center"/>
    </xf>
    <xf numFmtId="0" fontId="5" fillId="62" borderId="127" applyNumberFormat="0" applyProtection="0">
      <alignment horizontal="left" vertical="center" indent="1"/>
    </xf>
    <xf numFmtId="0" fontId="5" fillId="44" borderId="127" applyNumberFormat="0" applyProtection="0">
      <alignment horizontal="left" vertical="center" indent="1"/>
    </xf>
    <xf numFmtId="0" fontId="5" fillId="61" borderId="127" applyNumberFormat="0" applyProtection="0">
      <alignment horizontal="left" vertical="center" indent="1"/>
    </xf>
    <xf numFmtId="4" fontId="111" fillId="15" borderId="127" applyNumberFormat="0" applyProtection="0">
      <alignment horizontal="right" vertical="center"/>
    </xf>
    <xf numFmtId="4" fontId="5" fillId="0" borderId="127" applyNumberFormat="0" applyProtection="0">
      <alignment horizontal="right" vertical="center"/>
    </xf>
    <xf numFmtId="4" fontId="111" fillId="15" borderId="127" applyNumberFormat="0" applyProtection="0">
      <alignment horizontal="right" vertical="center"/>
    </xf>
    <xf numFmtId="4" fontId="38" fillId="24" borderId="131" applyNumberFormat="0" applyProtection="0">
      <alignment horizontal="right" vertical="center"/>
    </xf>
    <xf numFmtId="5" fontId="36" fillId="0" borderId="47" applyAlignment="0" applyProtection="0"/>
    <xf numFmtId="0" fontId="107" fillId="34" borderId="131" applyNumberFormat="0" applyAlignment="0" applyProtection="0"/>
    <xf numFmtId="4" fontId="38" fillId="24" borderId="131" applyNumberFormat="0" applyProtection="0">
      <alignment horizontal="right" vertical="center"/>
    </xf>
    <xf numFmtId="4" fontId="38" fillId="23" borderId="131" applyNumberFormat="0" applyProtection="0">
      <alignment horizontal="right" vertical="center"/>
    </xf>
    <xf numFmtId="0" fontId="1" fillId="32" borderId="131" applyNumberFormat="0" applyProtection="0">
      <alignment horizontal="left" vertical="center" indent="1"/>
    </xf>
    <xf numFmtId="5" fontId="77" fillId="30" borderId="120">
      <alignment vertical="top"/>
    </xf>
    <xf numFmtId="4" fontId="38" fillId="20" borderId="131" applyNumberFormat="0" applyProtection="0">
      <alignment horizontal="right" vertical="center"/>
    </xf>
    <xf numFmtId="6" fontId="79" fillId="36" borderId="120"/>
    <xf numFmtId="5" fontId="55" fillId="0" borderId="120">
      <alignment horizontal="left" vertical="top"/>
    </xf>
    <xf numFmtId="187" fontId="50" fillId="0" borderId="47"/>
    <xf numFmtId="0" fontId="2" fillId="0" borderId="129">
      <alignment horizontal="left" vertical="center"/>
    </xf>
    <xf numFmtId="4" fontId="38" fillId="27" borderId="131" applyNumberFormat="0" applyProtection="0">
      <alignment horizontal="right" vertical="center"/>
    </xf>
    <xf numFmtId="4" fontId="65" fillId="29" borderId="131" applyNumberFormat="0" applyProtection="0">
      <alignment horizontal="left" vertical="center" indent="1"/>
    </xf>
    <xf numFmtId="0" fontId="1" fillId="19" borderId="131" applyNumberFormat="0" applyProtection="0">
      <alignment horizontal="left" vertical="center" indent="1"/>
    </xf>
    <xf numFmtId="4" fontId="38" fillId="30" borderId="131" applyNumberFormat="0" applyProtection="0">
      <alignment horizontal="left" vertical="center" indent="1"/>
    </xf>
    <xf numFmtId="0" fontId="1" fillId="32" borderId="131" applyNumberFormat="0" applyProtection="0">
      <alignment horizontal="left" vertical="center" indent="1"/>
    </xf>
    <xf numFmtId="0" fontId="1" fillId="33" borderId="131" applyNumberFormat="0" applyProtection="0">
      <alignment horizontal="left" vertical="center" indent="1"/>
    </xf>
    <xf numFmtId="0" fontId="1" fillId="33" borderId="131" applyNumberFormat="0" applyProtection="0">
      <alignment horizontal="left" vertical="center" indent="1"/>
    </xf>
    <xf numFmtId="4" fontId="64" fillId="3" borderId="131" applyNumberFormat="0" applyProtection="0">
      <alignment vertical="center"/>
    </xf>
    <xf numFmtId="4" fontId="38" fillId="3" borderId="131" applyNumberFormat="0" applyProtection="0">
      <alignment horizontal="left" vertical="center" indent="1"/>
    </xf>
    <xf numFmtId="4" fontId="38" fillId="3" borderId="131" applyNumberFormat="0" applyProtection="0">
      <alignment horizontal="left" vertical="center" indent="1"/>
    </xf>
    <xf numFmtId="0" fontId="1" fillId="2" borderId="131" applyNumberFormat="0" applyProtection="0">
      <alignment horizontal="left" vertical="center" indent="1"/>
    </xf>
    <xf numFmtId="0" fontId="1" fillId="19" borderId="131" applyNumberFormat="0" applyProtection="0">
      <alignment horizontal="left" vertical="center" indent="1"/>
    </xf>
    <xf numFmtId="4" fontId="38" fillId="32" borderId="131" applyNumberFormat="0" applyProtection="0">
      <alignment horizontal="left" vertical="center" indent="1"/>
    </xf>
    <xf numFmtId="5" fontId="36" fillId="0" borderId="47" applyAlignment="0" applyProtection="0"/>
    <xf numFmtId="5" fontId="77" fillId="30" borderId="120">
      <alignment vertical="top"/>
    </xf>
    <xf numFmtId="4" fontId="38" fillId="30" borderId="126" applyNumberFormat="0" applyProtection="0">
      <alignment horizontal="left" vertical="center" indent="1"/>
    </xf>
    <xf numFmtId="4" fontId="65" fillId="29" borderId="131" applyNumberFormat="0" applyProtection="0">
      <alignment horizontal="left" vertical="center" indent="1"/>
    </xf>
    <xf numFmtId="4" fontId="38" fillId="28" borderId="131" applyNumberFormat="0" applyProtection="0">
      <alignment horizontal="right" vertical="center"/>
    </xf>
    <xf numFmtId="4" fontId="38" fillId="27" borderId="131" applyNumberFormat="0" applyProtection="0">
      <alignment horizontal="right" vertical="center"/>
    </xf>
    <xf numFmtId="4" fontId="38" fillId="26" borderId="131" applyNumberFormat="0" applyProtection="0">
      <alignment horizontal="right" vertical="center"/>
    </xf>
    <xf numFmtId="4" fontId="38" fillId="25" borderId="131" applyNumberFormat="0" applyProtection="0">
      <alignment horizontal="right" vertical="center"/>
    </xf>
    <xf numFmtId="4" fontId="38" fillId="24" borderId="131" applyNumberFormat="0" applyProtection="0">
      <alignment horizontal="right" vertical="center"/>
    </xf>
    <xf numFmtId="4" fontId="38" fillId="23" borderId="131" applyNumberFormat="0" applyProtection="0">
      <alignment horizontal="right" vertical="center"/>
    </xf>
    <xf numFmtId="4" fontId="38" fillId="22" borderId="131" applyNumberFormat="0" applyProtection="0">
      <alignment horizontal="right" vertical="center"/>
    </xf>
    <xf numFmtId="4" fontId="38" fillId="21" borderId="131" applyNumberFormat="0" applyProtection="0">
      <alignment horizontal="right" vertical="center"/>
    </xf>
    <xf numFmtId="4" fontId="38" fillId="20" borderId="131" applyNumberFormat="0" applyProtection="0">
      <alignment horizontal="right" vertical="center"/>
    </xf>
    <xf numFmtId="0" fontId="1" fillId="19" borderId="131" applyNumberFormat="0" applyProtection="0">
      <alignment horizontal="left" vertical="center" indent="1"/>
    </xf>
    <xf numFmtId="4" fontId="38" fillId="18" borderId="131" applyNumberFormat="0" applyProtection="0">
      <alignment horizontal="left" vertical="center" indent="1"/>
    </xf>
    <xf numFmtId="4" fontId="38" fillId="18" borderId="131" applyNumberFormat="0" applyProtection="0">
      <alignment horizontal="left" vertical="center" indent="1"/>
    </xf>
    <xf numFmtId="4" fontId="64" fillId="18" borderId="131" applyNumberFormat="0" applyProtection="0">
      <alignment vertical="center"/>
    </xf>
    <xf numFmtId="5" fontId="55" fillId="0" borderId="120">
      <alignment horizontal="left" vertical="top"/>
    </xf>
    <xf numFmtId="4" fontId="38" fillId="28" borderId="131" applyNumberFormat="0" applyProtection="0">
      <alignment horizontal="right" vertical="center"/>
    </xf>
    <xf numFmtId="0" fontId="104" fillId="43" borderId="122" applyNumberFormat="0" applyAlignment="0" applyProtection="0"/>
    <xf numFmtId="6" fontId="79" fillId="36" borderId="120"/>
    <xf numFmtId="5" fontId="77" fillId="30" borderId="120">
      <alignment vertical="top"/>
    </xf>
    <xf numFmtId="5" fontId="36" fillId="0" borderId="47" applyAlignment="0" applyProtection="0"/>
    <xf numFmtId="4" fontId="38" fillId="25" borderId="131" applyNumberFormat="0" applyProtection="0">
      <alignment horizontal="right" vertical="center"/>
    </xf>
    <xf numFmtId="4" fontId="38" fillId="24" borderId="131" applyNumberFormat="0" applyProtection="0">
      <alignment horizontal="right" vertical="center"/>
    </xf>
    <xf numFmtId="4" fontId="38" fillId="23" borderId="131" applyNumberFormat="0" applyProtection="0">
      <alignment horizontal="right" vertical="center"/>
    </xf>
    <xf numFmtId="4" fontId="38" fillId="22" borderId="131" applyNumberFormat="0" applyProtection="0">
      <alignment horizontal="right" vertical="center"/>
    </xf>
    <xf numFmtId="4" fontId="38" fillId="21" borderId="131" applyNumberFormat="0" applyProtection="0">
      <alignment horizontal="right" vertical="center"/>
    </xf>
    <xf numFmtId="4" fontId="38" fillId="20" borderId="131" applyNumberFormat="0" applyProtection="0">
      <alignment horizontal="right" vertical="center"/>
    </xf>
    <xf numFmtId="0" fontId="1" fillId="19" borderId="131" applyNumberFormat="0" applyProtection="0">
      <alignment horizontal="left" vertical="center" indent="1"/>
    </xf>
    <xf numFmtId="4" fontId="38" fillId="18" borderId="131" applyNumberFormat="0" applyProtection="0">
      <alignment horizontal="left" vertical="center" indent="1"/>
    </xf>
    <xf numFmtId="4" fontId="64" fillId="18" borderId="131" applyNumberFormat="0" applyProtection="0">
      <alignment vertical="center"/>
    </xf>
    <xf numFmtId="4" fontId="38" fillId="18" borderId="131" applyNumberFormat="0" applyProtection="0">
      <alignment vertical="center"/>
    </xf>
    <xf numFmtId="4" fontId="64" fillId="18" borderId="131" applyNumberFormat="0" applyProtection="0">
      <alignment vertical="center"/>
    </xf>
    <xf numFmtId="4" fontId="38" fillId="28" borderId="131" applyNumberFormat="0" applyProtection="0">
      <alignment horizontal="right" vertical="center"/>
    </xf>
    <xf numFmtId="4" fontId="38" fillId="30" borderId="131" applyNumberFormat="0" applyProtection="0">
      <alignment horizontal="right" vertical="center"/>
    </xf>
    <xf numFmtId="4" fontId="5" fillId="59" borderId="127" applyNumberFormat="0" applyProtection="0">
      <alignment horizontal="right" vertical="center"/>
    </xf>
    <xf numFmtId="0" fontId="5" fillId="34" borderId="127" applyNumberFormat="0" applyProtection="0">
      <alignment horizontal="left" vertical="center" indent="1"/>
    </xf>
    <xf numFmtId="0" fontId="5" fillId="44" borderId="128" applyNumberFormat="0" applyProtection="0">
      <alignment horizontal="left" vertical="top" indent="1"/>
    </xf>
    <xf numFmtId="0" fontId="5" fillId="59" borderId="128" applyNumberFormat="0" applyProtection="0">
      <alignment horizontal="left" vertical="top" indent="1"/>
    </xf>
    <xf numFmtId="0" fontId="5" fillId="60" borderId="128" applyNumberFormat="0" applyProtection="0">
      <alignment horizontal="left" vertical="top" indent="1"/>
    </xf>
    <xf numFmtId="4" fontId="5" fillId="50" borderId="127" applyNumberFormat="0" applyProtection="0">
      <alignment horizontal="left" vertical="center" indent="1"/>
    </xf>
    <xf numFmtId="4" fontId="5" fillId="0" borderId="127" applyNumberFormat="0" applyProtection="0">
      <alignment horizontal="right" vertical="center"/>
    </xf>
    <xf numFmtId="0" fontId="109" fillId="0" borderId="132" applyNumberFormat="0" applyFill="0" applyAlignment="0" applyProtection="0"/>
    <xf numFmtId="0" fontId="1" fillId="58" borderId="130" applyNumberFormat="0" applyFont="0" applyAlignment="0" applyProtection="0"/>
    <xf numFmtId="4" fontId="38" fillId="30" borderId="131" applyNumberFormat="0" applyProtection="0">
      <alignment horizontal="right" vertical="center"/>
    </xf>
    <xf numFmtId="4" fontId="38" fillId="28" borderId="131" applyNumberFormat="0" applyProtection="0">
      <alignment horizontal="right" vertical="center"/>
    </xf>
    <xf numFmtId="0" fontId="2" fillId="0" borderId="134">
      <alignment horizontal="left" vertical="center"/>
    </xf>
    <xf numFmtId="5" fontId="55" fillId="0" borderId="120">
      <alignment horizontal="left" vertical="top"/>
    </xf>
    <xf numFmtId="6" fontId="79" fillId="36" borderId="120"/>
    <xf numFmtId="4" fontId="38" fillId="18" borderId="131" applyNumberFormat="0" applyProtection="0">
      <alignment vertical="center"/>
    </xf>
    <xf numFmtId="4" fontId="64" fillId="18" borderId="131" applyNumberFormat="0" applyProtection="0">
      <alignment vertical="center"/>
    </xf>
    <xf numFmtId="4" fontId="38" fillId="18" borderId="131" applyNumberFormat="0" applyProtection="0">
      <alignment horizontal="left" vertical="center" indent="1"/>
    </xf>
    <xf numFmtId="4" fontId="38" fillId="21" borderId="131" applyNumberFormat="0" applyProtection="0">
      <alignment horizontal="right" vertical="center"/>
    </xf>
    <xf numFmtId="4" fontId="38" fillId="22" borderId="131" applyNumberFormat="0" applyProtection="0">
      <alignment horizontal="right" vertical="center"/>
    </xf>
    <xf numFmtId="4" fontId="38" fillId="23" borderId="131" applyNumberFormat="0" applyProtection="0">
      <alignment horizontal="right" vertical="center"/>
    </xf>
    <xf numFmtId="4" fontId="38" fillId="24" borderId="131" applyNumberFormat="0" applyProtection="0">
      <alignment horizontal="right" vertical="center"/>
    </xf>
    <xf numFmtId="4" fontId="38" fillId="25" borderId="131" applyNumberFormat="0" applyProtection="0">
      <alignment horizontal="right" vertical="center"/>
    </xf>
    <xf numFmtId="4" fontId="38" fillId="26" borderId="131" applyNumberFormat="0" applyProtection="0">
      <alignment horizontal="right" vertical="center"/>
    </xf>
    <xf numFmtId="4" fontId="38" fillId="27" borderId="131" applyNumberFormat="0" applyProtection="0">
      <alignment horizontal="right" vertical="center"/>
    </xf>
    <xf numFmtId="4" fontId="65" fillId="29" borderId="131" applyNumberFormat="0" applyProtection="0">
      <alignment horizontal="left" vertical="center" indent="1"/>
    </xf>
    <xf numFmtId="4" fontId="38" fillId="30" borderId="126" applyNumberFormat="0" applyProtection="0">
      <alignment horizontal="left" vertical="center" indent="1"/>
    </xf>
    <xf numFmtId="0" fontId="1" fillId="19" borderId="131" applyNumberFormat="0" applyProtection="0">
      <alignment horizontal="left" vertical="center" indent="1"/>
    </xf>
    <xf numFmtId="4" fontId="38" fillId="30" borderId="131" applyNumberFormat="0" applyProtection="0">
      <alignment horizontal="left" vertical="center" indent="1"/>
    </xf>
    <xf numFmtId="4" fontId="38" fillId="32" borderId="131" applyNumberFormat="0" applyProtection="0">
      <alignment horizontal="left" vertical="center" indent="1"/>
    </xf>
    <xf numFmtId="0" fontId="1" fillId="33" borderId="131" applyNumberFormat="0" applyProtection="0">
      <alignment horizontal="left" vertical="center" indent="1"/>
    </xf>
    <xf numFmtId="4" fontId="64" fillId="3" borderId="131" applyNumberFormat="0" applyProtection="0">
      <alignment vertical="center"/>
    </xf>
    <xf numFmtId="4" fontId="38" fillId="3" borderId="131" applyNumberFormat="0" applyProtection="0">
      <alignment horizontal="left" vertical="center" indent="1"/>
    </xf>
    <xf numFmtId="4" fontId="38" fillId="3" borderId="131" applyNumberFormat="0" applyProtection="0">
      <alignment horizontal="left" vertical="center" indent="1"/>
    </xf>
    <xf numFmtId="0" fontId="1" fillId="2" borderId="131" applyNumberFormat="0" applyProtection="0">
      <alignment horizontal="left" vertical="center" indent="1"/>
    </xf>
    <xf numFmtId="4" fontId="64" fillId="30" borderId="131" applyNumberFormat="0" applyProtection="0">
      <alignment horizontal="right" vertical="center"/>
    </xf>
    <xf numFmtId="4" fontId="38" fillId="30" borderId="126" applyNumberFormat="0" applyProtection="0">
      <alignment horizontal="left" vertical="center" indent="1"/>
    </xf>
    <xf numFmtId="4" fontId="38" fillId="3" borderId="131" applyNumberFormat="0" applyProtection="0">
      <alignment vertical="center"/>
    </xf>
    <xf numFmtId="4" fontId="64" fillId="30" borderId="131" applyNumberFormat="0" applyProtection="0">
      <alignment horizontal="right" vertical="center"/>
    </xf>
    <xf numFmtId="0" fontId="1" fillId="19" borderId="131" applyNumberFormat="0" applyProtection="0">
      <alignment horizontal="left" vertical="center" indent="1"/>
    </xf>
    <xf numFmtId="0" fontId="1" fillId="19" borderId="131" applyNumberFormat="0" applyProtection="0">
      <alignment horizontal="left" vertical="center" indent="1"/>
    </xf>
    <xf numFmtId="4" fontId="68" fillId="30" borderId="131" applyNumberFormat="0" applyProtection="0">
      <alignment horizontal="right" vertical="center"/>
    </xf>
    <xf numFmtId="0" fontId="97" fillId="34" borderId="122" applyNumberFormat="0" applyAlignment="0" applyProtection="0"/>
    <xf numFmtId="0" fontId="104" fillId="43" borderId="122" applyNumberFormat="0" applyAlignment="0" applyProtection="0"/>
    <xf numFmtId="0" fontId="104" fillId="43" borderId="122" applyNumberFormat="0" applyAlignment="0" applyProtection="0"/>
    <xf numFmtId="0" fontId="97" fillId="34" borderId="122" applyNumberFormat="0" applyAlignment="0" applyProtection="0"/>
    <xf numFmtId="4" fontId="68" fillId="30" borderId="131" applyNumberFormat="0" applyProtection="0">
      <alignment horizontal="right" vertical="center"/>
    </xf>
    <xf numFmtId="0" fontId="1" fillId="19" borderId="131" applyNumberFormat="0" applyProtection="0">
      <alignment horizontal="left" vertical="center" indent="1"/>
    </xf>
    <xf numFmtId="0" fontId="1" fillId="19" borderId="131" applyNumberFormat="0" applyProtection="0">
      <alignment horizontal="left" vertical="center" indent="1"/>
    </xf>
    <xf numFmtId="4" fontId="64" fillId="30" borderId="131" applyNumberFormat="0" applyProtection="0">
      <alignment horizontal="right" vertical="center"/>
    </xf>
    <xf numFmtId="0" fontId="1" fillId="2" borderId="131" applyNumberFormat="0" applyProtection="0">
      <alignment horizontal="left" vertical="center" indent="1"/>
    </xf>
    <xf numFmtId="4" fontId="38" fillId="3" borderId="131" applyNumberFormat="0" applyProtection="0">
      <alignment horizontal="left" vertical="center" indent="1"/>
    </xf>
    <xf numFmtId="4" fontId="38" fillId="3" borderId="131" applyNumberFormat="0" applyProtection="0">
      <alignment horizontal="left" vertical="center" indent="1"/>
    </xf>
    <xf numFmtId="4" fontId="64" fillId="3" borderId="131" applyNumberFormat="0" applyProtection="0">
      <alignment vertical="center"/>
    </xf>
    <xf numFmtId="4" fontId="38" fillId="3" borderId="131" applyNumberFormat="0" applyProtection="0">
      <alignment vertical="center"/>
    </xf>
    <xf numFmtId="0" fontId="1" fillId="33" borderId="131" applyNumberFormat="0" applyProtection="0">
      <alignment horizontal="left" vertical="center" indent="1"/>
    </xf>
    <xf numFmtId="0" fontId="1" fillId="33" borderId="131" applyNumberFormat="0" applyProtection="0">
      <alignment horizontal="left" vertical="center" indent="1"/>
    </xf>
    <xf numFmtId="0" fontId="1" fillId="19" borderId="131" applyNumberFormat="0" applyProtection="0">
      <alignment horizontal="left" vertical="center" indent="1"/>
    </xf>
    <xf numFmtId="4" fontId="38" fillId="30" borderId="126" applyNumberFormat="0" applyProtection="0">
      <alignment horizontal="left" vertical="center" indent="1"/>
    </xf>
    <xf numFmtId="4" fontId="65" fillId="29" borderId="131" applyNumberFormat="0" applyProtection="0">
      <alignment horizontal="left" vertical="center" indent="1"/>
    </xf>
    <xf numFmtId="5" fontId="55" fillId="0" borderId="120">
      <alignment horizontal="left" vertical="top"/>
    </xf>
    <xf numFmtId="0" fontId="97" fillId="34" borderId="122" applyNumberFormat="0" applyAlignment="0" applyProtection="0"/>
    <xf numFmtId="4" fontId="68" fillId="30" borderId="131" applyNumberFormat="0" applyProtection="0">
      <alignment horizontal="right" vertical="center"/>
    </xf>
    <xf numFmtId="4" fontId="38" fillId="3" borderId="131" applyNumberFormat="0" applyProtection="0">
      <alignment vertical="center"/>
    </xf>
    <xf numFmtId="0" fontId="1" fillId="19" borderId="131" applyNumberFormat="0" applyProtection="0">
      <alignment horizontal="left" vertical="center" indent="1"/>
    </xf>
    <xf numFmtId="4" fontId="64" fillId="30" borderId="131" applyNumberFormat="0" applyProtection="0">
      <alignment horizontal="right" vertical="center"/>
    </xf>
    <xf numFmtId="0" fontId="1" fillId="2" borderId="131" applyNumberFormat="0" applyProtection="0">
      <alignment horizontal="left" vertical="center" indent="1"/>
    </xf>
    <xf numFmtId="0" fontId="1" fillId="33" borderId="131" applyNumberFormat="0" applyProtection="0">
      <alignment horizontal="left" vertical="center" indent="1"/>
    </xf>
    <xf numFmtId="0" fontId="1" fillId="33" borderId="131" applyNumberFormat="0" applyProtection="0">
      <alignment horizontal="left" vertical="center" indent="1"/>
    </xf>
    <xf numFmtId="0" fontId="1" fillId="32" borderId="131" applyNumberFormat="0" applyProtection="0">
      <alignment horizontal="left" vertical="center" indent="1"/>
    </xf>
    <xf numFmtId="0" fontId="1" fillId="32" borderId="131" applyNumberFormat="0" applyProtection="0">
      <alignment horizontal="left" vertical="center" indent="1"/>
    </xf>
    <xf numFmtId="0" fontId="1" fillId="19" borderId="131" applyNumberFormat="0" applyProtection="0">
      <alignment horizontal="left" vertical="center" indent="1"/>
    </xf>
    <xf numFmtId="4" fontId="38" fillId="30" borderId="126" applyNumberFormat="0" applyProtection="0">
      <alignment horizontal="left" vertical="center" indent="1"/>
    </xf>
    <xf numFmtId="4" fontId="65" fillId="29" borderId="131" applyNumberFormat="0" applyProtection="0">
      <alignment horizontal="left" vertical="center" indent="1"/>
    </xf>
    <xf numFmtId="4" fontId="38" fillId="27" borderId="131" applyNumberFormat="0" applyProtection="0">
      <alignment horizontal="right" vertical="center"/>
    </xf>
    <xf numFmtId="4" fontId="38" fillId="26" borderId="131" applyNumberFormat="0" applyProtection="0">
      <alignment horizontal="right" vertical="center"/>
    </xf>
    <xf numFmtId="0" fontId="1" fillId="32" borderId="131" applyNumberFormat="0" applyProtection="0">
      <alignment horizontal="left" vertical="center" indent="1"/>
    </xf>
    <xf numFmtId="4" fontId="38" fillId="21" borderId="131" applyNumberFormat="0" applyProtection="0">
      <alignment horizontal="right" vertical="center"/>
    </xf>
    <xf numFmtId="4" fontId="38" fillId="30" borderId="131" applyNumberFormat="0" applyProtection="0">
      <alignment horizontal="right" vertical="center"/>
    </xf>
    <xf numFmtId="4" fontId="38" fillId="28" borderId="131" applyNumberFormat="0" applyProtection="0">
      <alignment horizontal="right" vertical="center"/>
    </xf>
    <xf numFmtId="0" fontId="2" fillId="0" borderId="129">
      <alignment horizontal="left" vertical="center"/>
    </xf>
    <xf numFmtId="4" fontId="38" fillId="18" borderId="131" applyNumberFormat="0" applyProtection="0">
      <alignment vertical="center"/>
    </xf>
    <xf numFmtId="4" fontId="64" fillId="18" borderId="131" applyNumberFormat="0" applyProtection="0">
      <alignment vertical="center"/>
    </xf>
    <xf numFmtId="4" fontId="38" fillId="18" borderId="131" applyNumberFormat="0" applyProtection="0">
      <alignment horizontal="left" vertical="center" indent="1"/>
    </xf>
    <xf numFmtId="5" fontId="55" fillId="0" borderId="120">
      <alignment horizontal="left" vertical="top"/>
    </xf>
    <xf numFmtId="6" fontId="79" fillId="36" borderId="120"/>
    <xf numFmtId="0" fontId="1" fillId="19" borderId="131" applyNumberFormat="0" applyProtection="0">
      <alignment horizontal="left" vertical="center" indent="1"/>
    </xf>
    <xf numFmtId="5" fontId="77" fillId="30" borderId="120">
      <alignment vertical="top"/>
    </xf>
    <xf numFmtId="4" fontId="38" fillId="20" borderId="131" applyNumberFormat="0" applyProtection="0">
      <alignment horizontal="right" vertical="center"/>
    </xf>
    <xf numFmtId="4" fontId="38" fillId="21" borderId="131" applyNumberFormat="0" applyProtection="0">
      <alignment horizontal="right" vertical="center"/>
    </xf>
    <xf numFmtId="4" fontId="38" fillId="22" borderId="131" applyNumberFormat="0" applyProtection="0">
      <alignment horizontal="right" vertical="center"/>
    </xf>
    <xf numFmtId="0" fontId="1" fillId="32" borderId="131" applyNumberFormat="0" applyProtection="0">
      <alignment horizontal="left" vertical="center" indent="1"/>
    </xf>
    <xf numFmtId="4" fontId="68" fillId="30" borderId="131" applyNumberFormat="0" applyProtection="0">
      <alignment horizontal="right" vertical="center"/>
    </xf>
    <xf numFmtId="0" fontId="1" fillId="19" borderId="131" applyNumberFormat="0" applyProtection="0">
      <alignment horizontal="left" vertical="center" indent="1"/>
    </xf>
    <xf numFmtId="0" fontId="1" fillId="19" borderId="131" applyNumberFormat="0" applyProtection="0">
      <alignment horizontal="left" vertical="center" indent="1"/>
    </xf>
    <xf numFmtId="4" fontId="64" fillId="30" borderId="131" applyNumberFormat="0" applyProtection="0">
      <alignment horizontal="right" vertical="center"/>
    </xf>
    <xf numFmtId="4" fontId="38" fillId="30" borderId="131" applyNumberFormat="0" applyProtection="0">
      <alignment horizontal="right" vertical="center"/>
    </xf>
    <xf numFmtId="4" fontId="38" fillId="3" borderId="131" applyNumberFormat="0" applyProtection="0">
      <alignment horizontal="left" vertical="center" indent="1"/>
    </xf>
    <xf numFmtId="4" fontId="38" fillId="3" borderId="131" applyNumberFormat="0" applyProtection="0">
      <alignment horizontal="left" vertical="center" indent="1"/>
    </xf>
    <xf numFmtId="4" fontId="64" fillId="3" borderId="131" applyNumberFormat="0" applyProtection="0">
      <alignment vertical="center"/>
    </xf>
    <xf numFmtId="4" fontId="38" fillId="3" borderId="131" applyNumberFormat="0" applyProtection="0">
      <alignment vertical="center"/>
    </xf>
    <xf numFmtId="0" fontId="1" fillId="19" borderId="131" applyNumberFormat="0" applyProtection="0">
      <alignment horizontal="left" vertical="center" indent="1"/>
    </xf>
    <xf numFmtId="0" fontId="1" fillId="19" borderId="131" applyNumberFormat="0" applyProtection="0">
      <alignment horizontal="left" vertical="center" indent="1"/>
    </xf>
    <xf numFmtId="0" fontId="1" fillId="33" borderId="131" applyNumberFormat="0" applyProtection="0">
      <alignment horizontal="left" vertical="center" indent="1"/>
    </xf>
    <xf numFmtId="0" fontId="1" fillId="32" borderId="131" applyNumberFormat="0" applyProtection="0">
      <alignment horizontal="left" vertical="center" indent="1"/>
    </xf>
    <xf numFmtId="0" fontId="1" fillId="32" borderId="131" applyNumberFormat="0" applyProtection="0">
      <alignment horizontal="left" vertical="center" indent="1"/>
    </xf>
    <xf numFmtId="4" fontId="38" fillId="32" borderId="131" applyNumberFormat="0" applyProtection="0">
      <alignment horizontal="left" vertical="center" indent="1"/>
    </xf>
    <xf numFmtId="4" fontId="38" fillId="30" borderId="131" applyNumberFormat="0" applyProtection="0">
      <alignment horizontal="left" vertical="center" indent="1"/>
    </xf>
    <xf numFmtId="0" fontId="1" fillId="19" borderId="131" applyNumberFormat="0" applyProtection="0">
      <alignment horizontal="left" vertical="center" indent="1"/>
    </xf>
    <xf numFmtId="4" fontId="38" fillId="32" borderId="131" applyNumberFormat="0" applyProtection="0">
      <alignment horizontal="left" vertical="center" indent="1"/>
    </xf>
    <xf numFmtId="0" fontId="1" fillId="19" borderId="131" applyNumberFormat="0" applyProtection="0">
      <alignment horizontal="left" vertical="center" indent="1"/>
    </xf>
    <xf numFmtId="4" fontId="38" fillId="25" borderId="131" applyNumberFormat="0" applyProtection="0">
      <alignment horizontal="right" vertical="center"/>
    </xf>
    <xf numFmtId="187" fontId="50" fillId="0" borderId="47"/>
    <xf numFmtId="4" fontId="5" fillId="0" borderId="127" applyNumberFormat="0" applyProtection="0">
      <alignment horizontal="right" vertical="center"/>
    </xf>
    <xf numFmtId="4" fontId="111" fillId="15" borderId="127" applyNumberFormat="0" applyProtection="0">
      <alignment horizontal="right" vertical="center"/>
    </xf>
    <xf numFmtId="4" fontId="5" fillId="50" borderId="127" applyNumberFormat="0" applyProtection="0">
      <alignment horizontal="left" vertical="center" indent="1"/>
    </xf>
    <xf numFmtId="0" fontId="5" fillId="34" borderId="127" applyNumberFormat="0" applyProtection="0">
      <alignment horizontal="left" vertical="center" indent="1"/>
    </xf>
    <xf numFmtId="4" fontId="5" fillId="59" borderId="127" applyNumberFormat="0" applyProtection="0">
      <alignment horizontal="right" vertical="center"/>
    </xf>
    <xf numFmtId="4" fontId="5" fillId="0" borderId="127" applyNumberFormat="0" applyProtection="0">
      <alignment horizontal="right" vertical="center"/>
    </xf>
    <xf numFmtId="4" fontId="111" fillId="15" borderId="127" applyNumberFormat="0" applyProtection="0">
      <alignment horizontal="right" vertical="center"/>
    </xf>
    <xf numFmtId="0" fontId="5" fillId="61" borderId="127" applyNumberFormat="0" applyProtection="0">
      <alignment horizontal="left" vertical="center" indent="1"/>
    </xf>
    <xf numFmtId="0" fontId="5" fillId="44" borderId="127" applyNumberFormat="0" applyProtection="0">
      <alignment horizontal="left" vertical="center" indent="1"/>
    </xf>
    <xf numFmtId="0" fontId="5" fillId="62" borderId="127" applyNumberFormat="0" applyProtection="0">
      <alignment horizontal="left" vertical="center" indent="1"/>
    </xf>
    <xf numFmtId="4" fontId="112" fillId="63" borderId="127" applyNumberFormat="0" applyProtection="0">
      <alignment horizontal="right" vertical="center"/>
    </xf>
    <xf numFmtId="4" fontId="5" fillId="50" borderId="127" applyNumberFormat="0" applyProtection="0">
      <alignment horizontal="left" vertical="center" indent="1"/>
    </xf>
    <xf numFmtId="4" fontId="5" fillId="0" borderId="127" applyNumberFormat="0" applyProtection="0">
      <alignment horizontal="right" vertical="center"/>
    </xf>
    <xf numFmtId="0" fontId="5" fillId="34" borderId="127" applyNumberFormat="0" applyProtection="0">
      <alignment horizontal="left" vertical="center" indent="1"/>
    </xf>
    <xf numFmtId="4" fontId="38" fillId="23" borderId="131" applyNumberFormat="0" applyProtection="0">
      <alignment horizontal="right" vertical="center"/>
    </xf>
    <xf numFmtId="0" fontId="1" fillId="32" borderId="131" applyNumberFormat="0" applyProtection="0">
      <alignment horizontal="left" vertical="center" indent="1"/>
    </xf>
    <xf numFmtId="0" fontId="1" fillId="32" borderId="131" applyNumberFormat="0" applyProtection="0">
      <alignment horizontal="left" vertical="center" indent="1"/>
    </xf>
    <xf numFmtId="0" fontId="1" fillId="19" borderId="131" applyNumberFormat="0" applyProtection="0">
      <alignment horizontal="left" vertical="center" indent="1"/>
    </xf>
    <xf numFmtId="4" fontId="112" fillId="63" borderId="127" applyNumberFormat="0" applyProtection="0">
      <alignment horizontal="right" vertical="center"/>
    </xf>
    <xf numFmtId="0" fontId="5" fillId="62" borderId="127" applyNumberFormat="0" applyProtection="0">
      <alignment horizontal="left" vertical="center" indent="1"/>
    </xf>
    <xf numFmtId="0" fontId="5" fillId="44" borderId="127" applyNumberFormat="0" applyProtection="0">
      <alignment horizontal="left" vertical="center" indent="1"/>
    </xf>
    <xf numFmtId="0" fontId="5" fillId="61" borderId="127" applyNumberFormat="0" applyProtection="0">
      <alignment horizontal="left" vertical="center" indent="1"/>
    </xf>
    <xf numFmtId="4" fontId="38" fillId="3" borderId="131" applyNumberFormat="0" applyProtection="0">
      <alignment horizontal="left" vertical="center" indent="1"/>
    </xf>
    <xf numFmtId="4" fontId="5" fillId="59" borderId="127" applyNumberFormat="0" applyProtection="0">
      <alignment horizontal="right" vertical="center"/>
    </xf>
    <xf numFmtId="0" fontId="1" fillId="2" borderId="131" applyNumberFormat="0" applyProtection="0">
      <alignment horizontal="left" vertical="center" indent="1"/>
    </xf>
    <xf numFmtId="0" fontId="104" fillId="43" borderId="122" applyNumberFormat="0" applyAlignment="0" applyProtection="0"/>
    <xf numFmtId="4" fontId="38" fillId="20" borderId="131" applyNumberFormat="0" applyProtection="0">
      <alignment horizontal="right" vertical="center"/>
    </xf>
    <xf numFmtId="4" fontId="68" fillId="30" borderId="131" applyNumberFormat="0" applyProtection="0">
      <alignment horizontal="right" vertical="center"/>
    </xf>
    <xf numFmtId="4" fontId="38" fillId="3" borderId="131" applyNumberFormat="0" applyProtection="0">
      <alignment horizontal="left" vertical="center" indent="1"/>
    </xf>
    <xf numFmtId="0" fontId="1" fillId="2" borderId="131" applyNumberFormat="0" applyProtection="0">
      <alignment horizontal="left" vertical="center" indent="1"/>
    </xf>
    <xf numFmtId="0" fontId="1" fillId="33" borderId="131" applyNumberFormat="0" applyProtection="0">
      <alignment horizontal="left" vertical="center" indent="1"/>
    </xf>
    <xf numFmtId="0" fontId="1" fillId="19" borderId="131" applyNumberFormat="0" applyProtection="0">
      <alignment horizontal="left" vertical="center" indent="1"/>
    </xf>
    <xf numFmtId="5" fontId="77" fillId="30" borderId="120">
      <alignment vertical="top"/>
    </xf>
    <xf numFmtId="0" fontId="1" fillId="33" borderId="131" applyNumberFormat="0" applyProtection="0">
      <alignment horizontal="left" vertical="center" indent="1"/>
    </xf>
    <xf numFmtId="4" fontId="38" fillId="30" borderId="126" applyNumberFormat="0" applyProtection="0">
      <alignment horizontal="left" vertical="center" indent="1"/>
    </xf>
    <xf numFmtId="4" fontId="38" fillId="22" borderId="131" applyNumberFormat="0" applyProtection="0">
      <alignment horizontal="right" vertical="center"/>
    </xf>
    <xf numFmtId="6" fontId="79" fillId="36" borderId="120"/>
    <xf numFmtId="4" fontId="38" fillId="18" borderId="131" applyNumberFormat="0" applyProtection="0">
      <alignment vertical="center"/>
    </xf>
    <xf numFmtId="4" fontId="38" fillId="30" borderId="131" applyNumberFormat="0" applyProtection="0">
      <alignment horizontal="left" vertical="center" indent="1"/>
    </xf>
    <xf numFmtId="4" fontId="38" fillId="30" borderId="131" applyNumberFormat="0" applyProtection="0">
      <alignment horizontal="right" vertical="center"/>
    </xf>
    <xf numFmtId="0" fontId="1" fillId="32" borderId="131" applyNumberFormat="0" applyProtection="0">
      <alignment horizontal="left" vertical="center" indent="1"/>
    </xf>
    <xf numFmtId="4" fontId="38" fillId="26" borderId="131" applyNumberFormat="0" applyProtection="0">
      <alignment horizontal="right" vertical="center"/>
    </xf>
    <xf numFmtId="0" fontId="2" fillId="0" borderId="129">
      <alignment horizontal="left" vertical="center"/>
    </xf>
    <xf numFmtId="0" fontId="1" fillId="19" borderId="131" applyNumberFormat="0" applyProtection="0">
      <alignment horizontal="left" vertical="center" indent="1"/>
    </xf>
    <xf numFmtId="0" fontId="1" fillId="58" borderId="130" applyNumberFormat="0" applyFont="0" applyAlignment="0" applyProtection="0"/>
    <xf numFmtId="5" fontId="55" fillId="0" borderId="120">
      <alignment horizontal="left" vertical="top"/>
    </xf>
    <xf numFmtId="0" fontId="1" fillId="19" borderId="131" applyNumberFormat="0" applyProtection="0">
      <alignment horizontal="left" vertical="center" indent="1"/>
    </xf>
    <xf numFmtId="4" fontId="38" fillId="32" borderId="131" applyNumberFormat="0" applyProtection="0">
      <alignment horizontal="left" vertical="center" indent="1"/>
    </xf>
    <xf numFmtId="0" fontId="1" fillId="32" borderId="131" applyNumberFormat="0" applyProtection="0">
      <alignment horizontal="left" vertical="center" indent="1"/>
    </xf>
    <xf numFmtId="0" fontId="1" fillId="2" borderId="131" applyNumberFormat="0" applyProtection="0">
      <alignment horizontal="left" vertical="center" indent="1"/>
    </xf>
    <xf numFmtId="4" fontId="38" fillId="3" borderId="131" applyNumberFormat="0" applyProtection="0">
      <alignment horizontal="left" vertical="center" indent="1"/>
    </xf>
    <xf numFmtId="0" fontId="107" fillId="34" borderId="131" applyNumberFormat="0" applyAlignment="0" applyProtection="0"/>
    <xf numFmtId="0" fontId="109" fillId="0" borderId="132" applyNumberFormat="0" applyFill="0" applyAlignment="0" applyProtection="0"/>
    <xf numFmtId="4" fontId="38" fillId="3" borderId="131" applyNumberFormat="0" applyProtection="0">
      <alignment vertical="center"/>
    </xf>
    <xf numFmtId="4" fontId="38" fillId="26" borderId="131" applyNumberFormat="0" applyProtection="0">
      <alignment horizontal="right" vertical="center"/>
    </xf>
    <xf numFmtId="4" fontId="5" fillId="59" borderId="127" applyNumberFormat="0" applyProtection="0">
      <alignment horizontal="right" vertical="center"/>
    </xf>
    <xf numFmtId="0" fontId="5" fillId="34" borderId="127" applyNumberFormat="0" applyProtection="0">
      <alignment horizontal="left" vertical="center" indent="1"/>
    </xf>
    <xf numFmtId="0" fontId="5" fillId="44" borderId="128" applyNumberFormat="0" applyProtection="0">
      <alignment horizontal="left" vertical="top" indent="1"/>
    </xf>
    <xf numFmtId="0" fontId="5" fillId="59" borderId="128" applyNumberFormat="0" applyProtection="0">
      <alignment horizontal="left" vertical="top" indent="1"/>
    </xf>
    <xf numFmtId="0" fontId="5" fillId="60" borderId="128" applyNumberFormat="0" applyProtection="0">
      <alignment horizontal="left" vertical="top" indent="1"/>
    </xf>
    <xf numFmtId="4" fontId="5" fillId="50" borderId="127" applyNumberFormat="0" applyProtection="0">
      <alignment horizontal="left" vertical="center" indent="1"/>
    </xf>
    <xf numFmtId="4" fontId="111" fillId="15" borderId="127" applyNumberFormat="0" applyProtection="0">
      <alignment horizontal="right" vertical="center"/>
    </xf>
    <xf numFmtId="4" fontId="5" fillId="0" borderId="127" applyNumberFormat="0" applyProtection="0">
      <alignment horizontal="right" vertical="center"/>
    </xf>
    <xf numFmtId="4" fontId="38" fillId="25" borderId="131" applyNumberFormat="0" applyProtection="0">
      <alignment horizontal="right" vertical="center"/>
    </xf>
    <xf numFmtId="6" fontId="79" fillId="36" borderId="120"/>
    <xf numFmtId="187" fontId="50" fillId="0" borderId="47"/>
    <xf numFmtId="5" fontId="77" fillId="30" borderId="120">
      <alignment vertical="top"/>
    </xf>
    <xf numFmtId="0" fontId="2" fillId="0" borderId="129">
      <alignment horizontal="left" vertical="center"/>
    </xf>
    <xf numFmtId="0" fontId="1" fillId="33" borderId="131" applyNumberFormat="0" applyProtection="0">
      <alignment horizontal="left" vertical="center" indent="1"/>
    </xf>
    <xf numFmtId="0" fontId="1" fillId="2" borderId="131" applyNumberFormat="0" applyProtection="0">
      <alignment horizontal="left" vertical="center" indent="1"/>
    </xf>
    <xf numFmtId="0" fontId="1" fillId="19" borderId="131" applyNumberFormat="0" applyProtection="0">
      <alignment horizontal="left" vertical="center" indent="1"/>
    </xf>
    <xf numFmtId="0" fontId="1" fillId="19" borderId="131" applyNumberFormat="0" applyProtection="0">
      <alignment horizontal="left" vertical="center" indent="1"/>
    </xf>
    <xf numFmtId="4" fontId="38" fillId="3" borderId="131" applyNumberFormat="0" applyProtection="0">
      <alignment vertical="center"/>
    </xf>
    <xf numFmtId="4" fontId="64" fillId="3" borderId="131" applyNumberFormat="0" applyProtection="0">
      <alignment vertical="center"/>
    </xf>
    <xf numFmtId="4" fontId="38" fillId="3" borderId="131" applyNumberFormat="0" applyProtection="0">
      <alignment horizontal="left" vertical="center" indent="1"/>
    </xf>
    <xf numFmtId="4" fontId="38" fillId="30" borderId="131" applyNumberFormat="0" applyProtection="0">
      <alignment horizontal="right" vertical="center"/>
    </xf>
    <xf numFmtId="4" fontId="64" fillId="30" borderId="131" applyNumberFormat="0" applyProtection="0">
      <alignment horizontal="right" vertical="center"/>
    </xf>
    <xf numFmtId="0" fontId="1" fillId="19" borderId="131" applyNumberFormat="0" applyProtection="0">
      <alignment horizontal="left" vertical="center" indent="1"/>
    </xf>
    <xf numFmtId="4" fontId="68" fillId="30" borderId="131" applyNumberFormat="0" applyProtection="0">
      <alignment horizontal="right" vertical="center"/>
    </xf>
    <xf numFmtId="4" fontId="64" fillId="3" borderId="131" applyNumberFormat="0" applyProtection="0">
      <alignment vertical="center"/>
    </xf>
    <xf numFmtId="0" fontId="1" fillId="33" borderId="131" applyNumberFormat="0" applyProtection="0">
      <alignment horizontal="left" vertical="center" indent="1"/>
    </xf>
    <xf numFmtId="4" fontId="38" fillId="18" borderId="131" applyNumberFormat="0" applyProtection="0">
      <alignment horizontal="left" vertical="center" indent="1"/>
    </xf>
    <xf numFmtId="0" fontId="1" fillId="19" borderId="131" applyNumberFormat="0" applyProtection="0">
      <alignment horizontal="left" vertical="center" indent="1"/>
    </xf>
    <xf numFmtId="4" fontId="38" fillId="20" borderId="131" applyNumberFormat="0" applyProtection="0">
      <alignment horizontal="right" vertical="center"/>
    </xf>
    <xf numFmtId="4" fontId="38" fillId="21" borderId="131" applyNumberFormat="0" applyProtection="0">
      <alignment horizontal="right" vertical="center"/>
    </xf>
    <xf numFmtId="4" fontId="38" fillId="22" borderId="131" applyNumberFormat="0" applyProtection="0">
      <alignment horizontal="right" vertical="center"/>
    </xf>
    <xf numFmtId="0" fontId="2" fillId="0" borderId="129">
      <alignment horizontal="left" vertical="center"/>
    </xf>
    <xf numFmtId="4" fontId="38" fillId="23" borderId="131" applyNumberFormat="0" applyProtection="0">
      <alignment horizontal="right" vertical="center"/>
    </xf>
    <xf numFmtId="4" fontId="38" fillId="30" borderId="131" applyNumberFormat="0" applyProtection="0">
      <alignment horizontal="left" vertical="center" indent="1"/>
    </xf>
    <xf numFmtId="4" fontId="38" fillId="18" borderId="131" applyNumberFormat="0" applyProtection="0">
      <alignment vertical="center"/>
    </xf>
    <xf numFmtId="4" fontId="64" fillId="18" borderId="131" applyNumberFormat="0" applyProtection="0">
      <alignment vertical="center"/>
    </xf>
    <xf numFmtId="4" fontId="38" fillId="18" borderId="131" applyNumberFormat="0" applyProtection="0">
      <alignment horizontal="left" vertical="center" indent="1"/>
    </xf>
    <xf numFmtId="4" fontId="5" fillId="0" borderId="127" applyNumberFormat="0" applyProtection="0">
      <alignment horizontal="right" vertical="center"/>
    </xf>
    <xf numFmtId="4" fontId="111" fillId="15" borderId="127" applyNumberFormat="0" applyProtection="0">
      <alignment horizontal="right" vertical="center"/>
    </xf>
    <xf numFmtId="4" fontId="5" fillId="50" borderId="127" applyNumberFormat="0" applyProtection="0">
      <alignment horizontal="left" vertical="center" indent="1"/>
    </xf>
    <xf numFmtId="0" fontId="5" fillId="34" borderId="127" applyNumberFormat="0" applyProtection="0">
      <alignment horizontal="left" vertical="center" indent="1"/>
    </xf>
    <xf numFmtId="4" fontId="5" fillId="59" borderId="127" applyNumberFormat="0" applyProtection="0">
      <alignment horizontal="right" vertical="center"/>
    </xf>
    <xf numFmtId="4" fontId="5" fillId="0" borderId="127" applyNumberFormat="0" applyProtection="0">
      <alignment horizontal="right" vertical="center"/>
    </xf>
    <xf numFmtId="4" fontId="111" fillId="15" borderId="127" applyNumberFormat="0" applyProtection="0">
      <alignment horizontal="right" vertical="center"/>
    </xf>
    <xf numFmtId="0" fontId="5" fillId="61" borderId="127" applyNumberFormat="0" applyProtection="0">
      <alignment horizontal="left" vertical="center" indent="1"/>
    </xf>
    <xf numFmtId="0" fontId="5" fillId="44" borderId="127" applyNumberFormat="0" applyProtection="0">
      <alignment horizontal="left" vertical="center" indent="1"/>
    </xf>
    <xf numFmtId="0" fontId="5" fillId="62" borderId="127" applyNumberFormat="0" applyProtection="0">
      <alignment horizontal="left" vertical="center" indent="1"/>
    </xf>
    <xf numFmtId="4" fontId="112" fillId="63" borderId="127" applyNumberFormat="0" applyProtection="0">
      <alignment horizontal="right" vertical="center"/>
    </xf>
    <xf numFmtId="4" fontId="5" fillId="50" borderId="127" applyNumberFormat="0" applyProtection="0">
      <alignment horizontal="left" vertical="center" indent="1"/>
    </xf>
    <xf numFmtId="4" fontId="5" fillId="0" borderId="127" applyNumberFormat="0" applyProtection="0">
      <alignment horizontal="right" vertical="center"/>
    </xf>
    <xf numFmtId="0" fontId="5" fillId="34" borderId="127" applyNumberFormat="0" applyProtection="0">
      <alignment horizontal="left" vertical="center" indent="1"/>
    </xf>
    <xf numFmtId="4" fontId="112" fillId="63" borderId="127" applyNumberFormat="0" applyProtection="0">
      <alignment horizontal="right" vertical="center"/>
    </xf>
    <xf numFmtId="0" fontId="5" fillId="62" borderId="127" applyNumberFormat="0" applyProtection="0">
      <alignment horizontal="left" vertical="center" indent="1"/>
    </xf>
    <xf numFmtId="0" fontId="5" fillId="44" borderId="127" applyNumberFormat="0" applyProtection="0">
      <alignment horizontal="left" vertical="center" indent="1"/>
    </xf>
    <xf numFmtId="0" fontId="5" fillId="61" borderId="127" applyNumberFormat="0" applyProtection="0">
      <alignment horizontal="left" vertical="center" indent="1"/>
    </xf>
    <xf numFmtId="4" fontId="5" fillId="59" borderId="127" applyNumberFormat="0" applyProtection="0">
      <alignment horizontal="right" vertical="center"/>
    </xf>
    <xf numFmtId="0" fontId="2" fillId="0" borderId="129">
      <alignment horizontal="left" vertical="center"/>
    </xf>
    <xf numFmtId="4" fontId="5" fillId="0" borderId="127" applyNumberFormat="0" applyProtection="0">
      <alignment horizontal="right" vertical="center"/>
    </xf>
    <xf numFmtId="4" fontId="111" fillId="15" borderId="127" applyNumberFormat="0" applyProtection="0">
      <alignment horizontal="right" vertical="center"/>
    </xf>
    <xf numFmtId="0" fontId="5" fillId="61" borderId="127" applyNumberFormat="0" applyProtection="0">
      <alignment horizontal="left" vertical="center" indent="1"/>
    </xf>
    <xf numFmtId="0" fontId="5" fillId="44" borderId="127" applyNumberFormat="0" applyProtection="0">
      <alignment horizontal="left" vertical="center" indent="1"/>
    </xf>
    <xf numFmtId="0" fontId="5" fillId="62" borderId="127" applyNumberFormat="0" applyProtection="0">
      <alignment horizontal="left" vertical="center" indent="1"/>
    </xf>
    <xf numFmtId="4" fontId="112" fillId="63" borderId="127" applyNumberFormat="0" applyProtection="0">
      <alignment horizontal="right" vertical="center"/>
    </xf>
    <xf numFmtId="4" fontId="5" fillId="50" borderId="127" applyNumberFormat="0" applyProtection="0">
      <alignment horizontal="left" vertical="center" indent="1"/>
    </xf>
    <xf numFmtId="4" fontId="5" fillId="0" borderId="127" applyNumberFormat="0" applyProtection="0">
      <alignment horizontal="right" vertical="center"/>
    </xf>
    <xf numFmtId="0" fontId="5" fillId="34" borderId="127" applyNumberFormat="0" applyProtection="0">
      <alignment horizontal="left" vertical="center" indent="1"/>
    </xf>
    <xf numFmtId="0" fontId="5" fillId="59" borderId="128" applyNumberFormat="0" applyProtection="0">
      <alignment horizontal="left" vertical="top" indent="1"/>
    </xf>
    <xf numFmtId="4" fontId="38" fillId="30" borderId="126" applyNumberFormat="0" applyProtection="0">
      <alignment horizontal="left" vertical="center" indent="1"/>
    </xf>
    <xf numFmtId="4" fontId="112" fillId="63" borderId="127" applyNumberFormat="0" applyProtection="0">
      <alignment horizontal="right" vertical="center"/>
    </xf>
    <xf numFmtId="0" fontId="5" fillId="62" borderId="127" applyNumberFormat="0" applyProtection="0">
      <alignment horizontal="left" vertical="center" indent="1"/>
    </xf>
    <xf numFmtId="0" fontId="5" fillId="44" borderId="127" applyNumberFormat="0" applyProtection="0">
      <alignment horizontal="left" vertical="center" indent="1"/>
    </xf>
    <xf numFmtId="0" fontId="5" fillId="61" borderId="127" applyNumberFormat="0" applyProtection="0">
      <alignment horizontal="left" vertical="center" indent="1"/>
    </xf>
    <xf numFmtId="4" fontId="5" fillId="59" borderId="127" applyNumberFormat="0" applyProtection="0">
      <alignment horizontal="right" vertical="center"/>
    </xf>
    <xf numFmtId="0" fontId="5" fillId="44" borderId="128" applyNumberFormat="0" applyProtection="0">
      <alignment horizontal="left" vertical="top" indent="1"/>
    </xf>
    <xf numFmtId="0" fontId="5" fillId="60" borderId="128" applyNumberFormat="0" applyProtection="0">
      <alignment horizontal="left" vertical="top" indent="1"/>
    </xf>
    <xf numFmtId="4" fontId="38" fillId="28" borderId="131" applyNumberFormat="0" applyProtection="0">
      <alignment horizontal="right" vertical="center"/>
    </xf>
    <xf numFmtId="4" fontId="38" fillId="27" borderId="131" applyNumberFormat="0" applyProtection="0">
      <alignment horizontal="right" vertical="center"/>
    </xf>
    <xf numFmtId="4" fontId="38" fillId="24" borderId="131" applyNumberFormat="0" applyProtection="0">
      <alignment horizontal="right" vertical="center"/>
    </xf>
    <xf numFmtId="4" fontId="65" fillId="29" borderId="131" applyNumberFormat="0" applyProtection="0">
      <alignment horizontal="left" vertical="center" indent="1"/>
    </xf>
    <xf numFmtId="4" fontId="5" fillId="0" borderId="127" applyNumberFormat="0" applyProtection="0">
      <alignment horizontal="right" vertical="center"/>
    </xf>
    <xf numFmtId="4" fontId="111" fillId="15" borderId="127" applyNumberFormat="0" applyProtection="0">
      <alignment horizontal="right" vertical="center"/>
    </xf>
    <xf numFmtId="4" fontId="5" fillId="50" borderId="127" applyNumberFormat="0" applyProtection="0">
      <alignment horizontal="left" vertical="center" indent="1"/>
    </xf>
    <xf numFmtId="0" fontId="5" fillId="60" borderId="128" applyNumberFormat="0" applyProtection="0">
      <alignment horizontal="left" vertical="top" indent="1"/>
    </xf>
    <xf numFmtId="0" fontId="5" fillId="59" borderId="128" applyNumberFormat="0" applyProtection="0">
      <alignment horizontal="left" vertical="top" indent="1"/>
    </xf>
    <xf numFmtId="0" fontId="5" fillId="44" borderId="128" applyNumberFormat="0" applyProtection="0">
      <alignment horizontal="left" vertical="top" indent="1"/>
    </xf>
    <xf numFmtId="0" fontId="5" fillId="34" borderId="127" applyNumberFormat="0" applyProtection="0">
      <alignment horizontal="left" vertical="center" indent="1"/>
    </xf>
    <xf numFmtId="4" fontId="5" fillId="59" borderId="127" applyNumberFormat="0" applyProtection="0">
      <alignment horizontal="right" vertical="center"/>
    </xf>
    <xf numFmtId="4" fontId="5" fillId="0" borderId="127" applyNumberFormat="0" applyProtection="0">
      <alignment horizontal="right" vertical="center"/>
    </xf>
    <xf numFmtId="4" fontId="111" fillId="15" borderId="127" applyNumberFormat="0" applyProtection="0">
      <alignment horizontal="right" vertical="center"/>
    </xf>
    <xf numFmtId="0" fontId="5" fillId="61" borderId="127" applyNumberFormat="0" applyProtection="0">
      <alignment horizontal="left" vertical="center" indent="1"/>
    </xf>
    <xf numFmtId="0" fontId="5" fillId="44" borderId="127" applyNumberFormat="0" applyProtection="0">
      <alignment horizontal="left" vertical="center" indent="1"/>
    </xf>
    <xf numFmtId="0" fontId="5" fillId="62" borderId="127" applyNumberFormat="0" applyProtection="0">
      <alignment horizontal="left" vertical="center" indent="1"/>
    </xf>
    <xf numFmtId="4" fontId="112" fillId="63" borderId="127" applyNumberFormat="0" applyProtection="0">
      <alignment horizontal="right" vertical="center"/>
    </xf>
    <xf numFmtId="4" fontId="5" fillId="50" borderId="127" applyNumberFormat="0" applyProtection="0">
      <alignment horizontal="left" vertical="center" indent="1"/>
    </xf>
    <xf numFmtId="4" fontId="5" fillId="0" borderId="127" applyNumberFormat="0" applyProtection="0">
      <alignment horizontal="right" vertical="center"/>
    </xf>
    <xf numFmtId="0" fontId="5" fillId="34" borderId="127" applyNumberFormat="0" applyProtection="0">
      <alignment horizontal="left" vertical="center" indent="1"/>
    </xf>
    <xf numFmtId="0" fontId="5" fillId="59" borderId="128" applyNumberFormat="0" applyProtection="0">
      <alignment horizontal="left" vertical="top" indent="1"/>
    </xf>
    <xf numFmtId="4" fontId="112" fillId="63" borderId="127" applyNumberFormat="0" applyProtection="0">
      <alignment horizontal="right" vertical="center"/>
    </xf>
    <xf numFmtId="0" fontId="5" fillId="62" borderId="127" applyNumberFormat="0" applyProtection="0">
      <alignment horizontal="left" vertical="center" indent="1"/>
    </xf>
    <xf numFmtId="0" fontId="5" fillId="44" borderId="127" applyNumberFormat="0" applyProtection="0">
      <alignment horizontal="left" vertical="center" indent="1"/>
    </xf>
    <xf numFmtId="0" fontId="5" fillId="61" borderId="127" applyNumberFormat="0" applyProtection="0">
      <alignment horizontal="left" vertical="center" indent="1"/>
    </xf>
    <xf numFmtId="4" fontId="5" fillId="59" borderId="127" applyNumberFormat="0" applyProtection="0">
      <alignment horizontal="right" vertical="center"/>
    </xf>
    <xf numFmtId="0" fontId="94" fillId="58" borderId="130" applyNumberFormat="0" applyFont="0" applyAlignment="0" applyProtection="0"/>
    <xf numFmtId="0" fontId="5" fillId="44" borderId="128" applyNumberFormat="0" applyProtection="0">
      <alignment horizontal="left" vertical="top" indent="1"/>
    </xf>
    <xf numFmtId="0" fontId="5" fillId="60" borderId="128" applyNumberFormat="0" applyProtection="0">
      <alignment horizontal="left" vertical="top" indent="1"/>
    </xf>
    <xf numFmtId="0" fontId="94" fillId="58" borderId="130" applyNumberFormat="0" applyFont="0" applyAlignment="0" applyProtection="0"/>
    <xf numFmtId="4" fontId="38" fillId="18" borderId="131" applyNumberFormat="0" applyProtection="0">
      <alignment horizontal="left" vertical="center" indent="1"/>
    </xf>
    <xf numFmtId="4" fontId="38" fillId="18" borderId="131" applyNumberFormat="0" applyProtection="0">
      <alignment horizontal="left" vertical="center" indent="1"/>
    </xf>
    <xf numFmtId="4" fontId="38" fillId="3" borderId="131" applyNumberFormat="0" applyProtection="0">
      <alignment horizontal="left" vertical="center" indent="1"/>
    </xf>
    <xf numFmtId="0" fontId="1" fillId="33" borderId="131" applyNumberFormat="0" applyProtection="0">
      <alignment horizontal="left" vertical="center" indent="1"/>
    </xf>
    <xf numFmtId="4" fontId="68" fillId="30" borderId="131" applyNumberFormat="0" applyProtection="0">
      <alignment horizontal="right" vertical="center"/>
    </xf>
    <xf numFmtId="0" fontId="1" fillId="19" borderId="131" applyNumberFormat="0" applyProtection="0">
      <alignment horizontal="left" vertical="center" indent="1"/>
    </xf>
    <xf numFmtId="0" fontId="1" fillId="19" borderId="131" applyNumberFormat="0" applyProtection="0">
      <alignment horizontal="left" vertical="center" indent="1"/>
    </xf>
    <xf numFmtId="4" fontId="64" fillId="30" borderId="131" applyNumberFormat="0" applyProtection="0">
      <alignment horizontal="right" vertical="center"/>
    </xf>
    <xf numFmtId="4" fontId="38" fillId="30" borderId="131" applyNumberFormat="0" applyProtection="0">
      <alignment horizontal="right" vertical="center"/>
    </xf>
    <xf numFmtId="4" fontId="38" fillId="3" borderId="131" applyNumberFormat="0" applyProtection="0">
      <alignment horizontal="left" vertical="center" indent="1"/>
    </xf>
    <xf numFmtId="4" fontId="64" fillId="3" borderId="131" applyNumberFormat="0" applyProtection="0">
      <alignment vertical="center"/>
    </xf>
    <xf numFmtId="4" fontId="38" fillId="3" borderId="131" applyNumberFormat="0" applyProtection="0">
      <alignment vertical="center"/>
    </xf>
    <xf numFmtId="0" fontId="1" fillId="19" borderId="131" applyNumberFormat="0" applyProtection="0">
      <alignment horizontal="left" vertical="center" indent="1"/>
    </xf>
    <xf numFmtId="0" fontId="1" fillId="19" borderId="131" applyNumberFormat="0" applyProtection="0">
      <alignment horizontal="left" vertical="center" indent="1"/>
    </xf>
    <xf numFmtId="0" fontId="1" fillId="2" borderId="131" applyNumberFormat="0" applyProtection="0">
      <alignment horizontal="left" vertical="center" indent="1"/>
    </xf>
    <xf numFmtId="0" fontId="1" fillId="2" borderId="131" applyNumberFormat="0" applyProtection="0">
      <alignment horizontal="left" vertical="center" indent="1"/>
    </xf>
    <xf numFmtId="0" fontId="1" fillId="33" borderId="131" applyNumberFormat="0" applyProtection="0">
      <alignment horizontal="left" vertical="center" indent="1"/>
    </xf>
    <xf numFmtId="0" fontId="1" fillId="33" borderId="131" applyNumberFormat="0" applyProtection="0">
      <alignment horizontal="left" vertical="center" indent="1"/>
    </xf>
    <xf numFmtId="0" fontId="1" fillId="32" borderId="131" applyNumberFormat="0" applyProtection="0">
      <alignment horizontal="left" vertical="center" indent="1"/>
    </xf>
    <xf numFmtId="0" fontId="1" fillId="32" borderId="131" applyNumberFormat="0" applyProtection="0">
      <alignment horizontal="left" vertical="center" indent="1"/>
    </xf>
    <xf numFmtId="4" fontId="38" fillId="32" borderId="131" applyNumberFormat="0" applyProtection="0">
      <alignment horizontal="left" vertical="center" indent="1"/>
    </xf>
    <xf numFmtId="4" fontId="38" fillId="30" borderId="131" applyNumberFormat="0" applyProtection="0">
      <alignment horizontal="left" vertical="center" indent="1"/>
    </xf>
    <xf numFmtId="0" fontId="1" fillId="19" borderId="131" applyNumberFormat="0" applyProtection="0">
      <alignment horizontal="left" vertical="center" indent="1"/>
    </xf>
    <xf numFmtId="4" fontId="38" fillId="30" borderId="126" applyNumberFormat="0" applyProtection="0">
      <alignment horizontal="left" vertical="center" indent="1"/>
    </xf>
    <xf numFmtId="4" fontId="65" fillId="29" borderId="131" applyNumberFormat="0" applyProtection="0">
      <alignment horizontal="left" vertical="center" indent="1"/>
    </xf>
    <xf numFmtId="4" fontId="38" fillId="23" borderId="131" applyNumberFormat="0" applyProtection="0">
      <alignment horizontal="right" vertical="center"/>
    </xf>
    <xf numFmtId="0" fontId="1" fillId="19" borderId="131" applyNumberFormat="0" applyProtection="0">
      <alignment horizontal="left" vertical="center" indent="1"/>
    </xf>
    <xf numFmtId="4" fontId="38" fillId="18" borderId="131" applyNumberFormat="0" applyProtection="0">
      <alignment horizontal="left" vertical="center" indent="1"/>
    </xf>
    <xf numFmtId="4" fontId="38" fillId="18" borderId="131" applyNumberFormat="0" applyProtection="0">
      <alignment horizontal="left" vertical="center" indent="1"/>
    </xf>
    <xf numFmtId="4" fontId="64" fillId="18" borderId="131" applyNumberFormat="0" applyProtection="0">
      <alignment vertical="center"/>
    </xf>
    <xf numFmtId="4" fontId="38" fillId="18" borderId="131" applyNumberFormat="0" applyProtection="0">
      <alignment vertical="center"/>
    </xf>
    <xf numFmtId="0" fontId="109" fillId="0" borderId="132" applyNumberFormat="0" applyFill="0" applyAlignment="0" applyProtection="0"/>
    <xf numFmtId="0" fontId="107" fillId="34" borderId="131" applyNumberFormat="0" applyAlignment="0" applyProtection="0"/>
    <xf numFmtId="4" fontId="38" fillId="28" borderId="131" applyNumberFormat="0" applyProtection="0">
      <alignment horizontal="right" vertical="center"/>
    </xf>
    <xf numFmtId="0" fontId="97" fillId="34" borderId="122" applyNumberFormat="0" applyAlignment="0" applyProtection="0"/>
    <xf numFmtId="0" fontId="1" fillId="32" borderId="131" applyNumberFormat="0" applyProtection="0">
      <alignment horizontal="left" vertical="center" indent="1"/>
    </xf>
    <xf numFmtId="4" fontId="38" fillId="24" borderId="131" applyNumberFormat="0" applyProtection="0">
      <alignment horizontal="right" vertical="center"/>
    </xf>
    <xf numFmtId="0" fontId="104" fillId="43" borderId="122" applyNumberFormat="0" applyAlignment="0" applyProtection="0"/>
    <xf numFmtId="4" fontId="38" fillId="26" borderId="131" applyNumberFormat="0" applyProtection="0">
      <alignment horizontal="right" vertical="center"/>
    </xf>
    <xf numFmtId="4" fontId="38" fillId="26" borderId="131" applyNumberFormat="0" applyProtection="0">
      <alignment horizontal="right" vertical="center"/>
    </xf>
    <xf numFmtId="0" fontId="1" fillId="58" borderId="130" applyNumberFormat="0" applyFont="0" applyAlignment="0" applyProtection="0"/>
    <xf numFmtId="4" fontId="38" fillId="27" borderId="131" applyNumberFormat="0" applyProtection="0">
      <alignment horizontal="right" vertical="center"/>
    </xf>
    <xf numFmtId="4" fontId="38" fillId="25" borderId="131" applyNumberFormat="0" applyProtection="0">
      <alignment horizontal="right" vertical="center"/>
    </xf>
    <xf numFmtId="4" fontId="38" fillId="22" borderId="131" applyNumberFormat="0" applyProtection="0">
      <alignment horizontal="right" vertical="center"/>
    </xf>
    <xf numFmtId="0" fontId="1" fillId="19" borderId="131" applyNumberFormat="0" applyProtection="0">
      <alignment horizontal="left" vertical="center" indent="1"/>
    </xf>
    <xf numFmtId="0" fontId="1" fillId="58" borderId="130" applyNumberFormat="0" applyFont="0" applyAlignment="0" applyProtection="0"/>
    <xf numFmtId="5" fontId="55" fillId="0" borderId="120">
      <alignment horizontal="left" vertical="top"/>
    </xf>
    <xf numFmtId="0" fontId="1" fillId="19" borderId="131" applyNumberFormat="0" applyProtection="0">
      <alignment horizontal="left" vertical="center" indent="1"/>
    </xf>
    <xf numFmtId="4" fontId="38" fillId="32" borderId="131" applyNumberFormat="0" applyProtection="0">
      <alignment horizontal="left" vertical="center" indent="1"/>
    </xf>
    <xf numFmtId="0" fontId="1" fillId="32" borderId="131" applyNumberFormat="0" applyProtection="0">
      <alignment horizontal="left" vertical="center" indent="1"/>
    </xf>
    <xf numFmtId="0" fontId="1" fillId="2" borderId="131" applyNumberFormat="0" applyProtection="0">
      <alignment horizontal="left" vertical="center" indent="1"/>
    </xf>
    <xf numFmtId="4" fontId="38" fillId="3" borderId="131" applyNumberFormat="0" applyProtection="0">
      <alignment horizontal="left" vertical="center" indent="1"/>
    </xf>
    <xf numFmtId="0" fontId="107" fillId="34" borderId="131" applyNumberFormat="0" applyAlignment="0" applyProtection="0"/>
    <xf numFmtId="0" fontId="109" fillId="0" borderId="132" applyNumberFormat="0" applyFill="0" applyAlignment="0" applyProtection="0"/>
    <xf numFmtId="0" fontId="1" fillId="19" borderId="131" applyNumberFormat="0" applyProtection="0">
      <alignment horizontal="left" vertical="center" indent="1"/>
    </xf>
    <xf numFmtId="4" fontId="5" fillId="59" borderId="127" applyNumberFormat="0" applyProtection="0">
      <alignment horizontal="right" vertical="center"/>
    </xf>
    <xf numFmtId="0" fontId="5" fillId="34" borderId="127" applyNumberFormat="0" applyProtection="0">
      <alignment horizontal="left" vertical="center" indent="1"/>
    </xf>
    <xf numFmtId="0" fontId="5" fillId="44" borderId="128" applyNumberFormat="0" applyProtection="0">
      <alignment horizontal="left" vertical="top" indent="1"/>
    </xf>
    <xf numFmtId="0" fontId="5" fillId="59" borderId="128" applyNumberFormat="0" applyProtection="0">
      <alignment horizontal="left" vertical="top" indent="1"/>
    </xf>
    <xf numFmtId="0" fontId="5" fillId="60" borderId="128" applyNumberFormat="0" applyProtection="0">
      <alignment horizontal="left" vertical="top" indent="1"/>
    </xf>
    <xf numFmtId="4" fontId="5" fillId="50" borderId="127" applyNumberFormat="0" applyProtection="0">
      <alignment horizontal="left" vertical="center" indent="1"/>
    </xf>
    <xf numFmtId="4" fontId="111" fillId="15" borderId="127" applyNumberFormat="0" applyProtection="0">
      <alignment horizontal="right" vertical="center"/>
    </xf>
    <xf numFmtId="4" fontId="5" fillId="0" borderId="127" applyNumberFormat="0" applyProtection="0">
      <alignment horizontal="right" vertical="center"/>
    </xf>
    <xf numFmtId="4" fontId="38" fillId="25" borderId="131" applyNumberFormat="0" applyProtection="0">
      <alignment horizontal="right" vertical="center"/>
    </xf>
    <xf numFmtId="6" fontId="79" fillId="36" borderId="120"/>
    <xf numFmtId="5" fontId="77" fillId="30" borderId="120">
      <alignment vertical="top"/>
    </xf>
    <xf numFmtId="0" fontId="1" fillId="33" borderId="131" applyNumberFormat="0" applyProtection="0">
      <alignment horizontal="left" vertical="center" indent="1"/>
    </xf>
    <xf numFmtId="0" fontId="1" fillId="2" borderId="131" applyNumberFormat="0" applyProtection="0">
      <alignment horizontal="left" vertical="center" indent="1"/>
    </xf>
    <xf numFmtId="0" fontId="1" fillId="19" borderId="131" applyNumberFormat="0" applyProtection="0">
      <alignment horizontal="left" vertical="center" indent="1"/>
    </xf>
    <xf numFmtId="0" fontId="1" fillId="19" borderId="131" applyNumberFormat="0" applyProtection="0">
      <alignment horizontal="left" vertical="center" indent="1"/>
    </xf>
    <xf numFmtId="4" fontId="38" fillId="3" borderId="131" applyNumberFormat="0" applyProtection="0">
      <alignment vertical="center"/>
    </xf>
    <xf numFmtId="4" fontId="64" fillId="3" borderId="131" applyNumberFormat="0" applyProtection="0">
      <alignment vertical="center"/>
    </xf>
    <xf numFmtId="4" fontId="38" fillId="3" borderId="131" applyNumberFormat="0" applyProtection="0">
      <alignment horizontal="left" vertical="center" indent="1"/>
    </xf>
    <xf numFmtId="4" fontId="38" fillId="30" borderId="131" applyNumberFormat="0" applyProtection="0">
      <alignment horizontal="right" vertical="center"/>
    </xf>
    <xf numFmtId="4" fontId="64" fillId="30" borderId="131" applyNumberFormat="0" applyProtection="0">
      <alignment horizontal="right" vertical="center"/>
    </xf>
    <xf numFmtId="0" fontId="1" fillId="19" borderId="131" applyNumberFormat="0" applyProtection="0">
      <alignment horizontal="left" vertical="center" indent="1"/>
    </xf>
    <xf numFmtId="4" fontId="68" fillId="30" borderId="131" applyNumberFormat="0" applyProtection="0">
      <alignment horizontal="right" vertical="center"/>
    </xf>
    <xf numFmtId="4" fontId="38" fillId="27" borderId="131" applyNumberFormat="0" applyProtection="0">
      <alignment horizontal="right" vertical="center"/>
    </xf>
    <xf numFmtId="0" fontId="1" fillId="2" borderId="131" applyNumberFormat="0" applyProtection="0">
      <alignment horizontal="left" vertical="center" indent="1"/>
    </xf>
    <xf numFmtId="4" fontId="38" fillId="18" borderId="131" applyNumberFormat="0" applyProtection="0">
      <alignment horizontal="left" vertical="center" indent="1"/>
    </xf>
    <xf numFmtId="0" fontId="1" fillId="19" borderId="131" applyNumberFormat="0" applyProtection="0">
      <alignment horizontal="left" vertical="center" indent="1"/>
    </xf>
    <xf numFmtId="4" fontId="38" fillId="20" borderId="131" applyNumberFormat="0" applyProtection="0">
      <alignment horizontal="right" vertical="center"/>
    </xf>
    <xf numFmtId="4" fontId="38" fillId="21" borderId="131" applyNumberFormat="0" applyProtection="0">
      <alignment horizontal="right" vertical="center"/>
    </xf>
    <xf numFmtId="4" fontId="38" fillId="22" borderId="131" applyNumberFormat="0" applyProtection="0">
      <alignment horizontal="right" vertical="center"/>
    </xf>
    <xf numFmtId="0" fontId="2" fillId="0" borderId="129">
      <alignment horizontal="left" vertical="center"/>
    </xf>
    <xf numFmtId="4" fontId="38" fillId="23" borderId="131" applyNumberFormat="0" applyProtection="0">
      <alignment horizontal="right" vertical="center"/>
    </xf>
    <xf numFmtId="4" fontId="38" fillId="30" borderId="131" applyNumberFormat="0" applyProtection="0">
      <alignment horizontal="left" vertical="center" indent="1"/>
    </xf>
    <xf numFmtId="4" fontId="38" fillId="18" borderId="131" applyNumberFormat="0" applyProtection="0">
      <alignment vertical="center"/>
    </xf>
    <xf numFmtId="4" fontId="64" fillId="18" borderId="131" applyNumberFormat="0" applyProtection="0">
      <alignment vertical="center"/>
    </xf>
    <xf numFmtId="4" fontId="38" fillId="18" borderId="131" applyNumberFormat="0" applyProtection="0">
      <alignment horizontal="left" vertical="center" indent="1"/>
    </xf>
    <xf numFmtId="4" fontId="5" fillId="0" borderId="127" applyNumberFormat="0" applyProtection="0">
      <alignment horizontal="right" vertical="center"/>
    </xf>
    <xf numFmtId="4" fontId="111" fillId="15" borderId="127" applyNumberFormat="0" applyProtection="0">
      <alignment horizontal="right" vertical="center"/>
    </xf>
    <xf numFmtId="4" fontId="5" fillId="50" borderId="127" applyNumberFormat="0" applyProtection="0">
      <alignment horizontal="left" vertical="center" indent="1"/>
    </xf>
    <xf numFmtId="0" fontId="5" fillId="60" borderId="128" applyNumberFormat="0" applyProtection="0">
      <alignment horizontal="left" vertical="top" indent="1"/>
    </xf>
    <xf numFmtId="0" fontId="5" fillId="59" borderId="128" applyNumberFormat="0" applyProtection="0">
      <alignment horizontal="left" vertical="top" indent="1"/>
    </xf>
    <xf numFmtId="0" fontId="5" fillId="44" borderId="128" applyNumberFormat="0" applyProtection="0">
      <alignment horizontal="left" vertical="top" indent="1"/>
    </xf>
    <xf numFmtId="0" fontId="5" fillId="34" borderId="127" applyNumberFormat="0" applyProtection="0">
      <alignment horizontal="left" vertical="center" indent="1"/>
    </xf>
    <xf numFmtId="4" fontId="5" fillId="59" borderId="127" applyNumberFormat="0" applyProtection="0">
      <alignment horizontal="right" vertical="center"/>
    </xf>
    <xf numFmtId="4" fontId="5" fillId="0" borderId="127" applyNumberFormat="0" applyProtection="0">
      <alignment horizontal="right" vertical="center"/>
    </xf>
    <xf numFmtId="4" fontId="111" fillId="15" borderId="127" applyNumberFormat="0" applyProtection="0">
      <alignment horizontal="right" vertical="center"/>
    </xf>
    <xf numFmtId="0" fontId="5" fillId="61" borderId="127" applyNumberFormat="0" applyProtection="0">
      <alignment horizontal="left" vertical="center" indent="1"/>
    </xf>
    <xf numFmtId="0" fontId="5" fillId="44" borderId="127" applyNumberFormat="0" applyProtection="0">
      <alignment horizontal="left" vertical="center" indent="1"/>
    </xf>
    <xf numFmtId="0" fontId="5" fillId="62" borderId="127" applyNumberFormat="0" applyProtection="0">
      <alignment horizontal="left" vertical="center" indent="1"/>
    </xf>
    <xf numFmtId="4" fontId="112" fillId="63" borderId="127" applyNumberFormat="0" applyProtection="0">
      <alignment horizontal="right" vertical="center"/>
    </xf>
    <xf numFmtId="4" fontId="5" fillId="50" borderId="127" applyNumberFormat="0" applyProtection="0">
      <alignment horizontal="left" vertical="center" indent="1"/>
    </xf>
    <xf numFmtId="4" fontId="5" fillId="0" borderId="127" applyNumberFormat="0" applyProtection="0">
      <alignment horizontal="right" vertical="center"/>
    </xf>
    <xf numFmtId="0" fontId="5" fillId="34" borderId="127" applyNumberFormat="0" applyProtection="0">
      <alignment horizontal="left" vertical="center" indent="1"/>
    </xf>
    <xf numFmtId="0" fontId="5" fillId="59" borderId="128" applyNumberFormat="0" applyProtection="0">
      <alignment horizontal="left" vertical="top" indent="1"/>
    </xf>
    <xf numFmtId="4" fontId="38" fillId="21" borderId="131" applyNumberFormat="0" applyProtection="0">
      <alignment horizontal="right" vertical="center"/>
    </xf>
    <xf numFmtId="4" fontId="112" fillId="63" borderId="127" applyNumberFormat="0" applyProtection="0">
      <alignment horizontal="right" vertical="center"/>
    </xf>
    <xf numFmtId="0" fontId="5" fillId="62" borderId="127" applyNumberFormat="0" applyProtection="0">
      <alignment horizontal="left" vertical="center" indent="1"/>
    </xf>
    <xf numFmtId="0" fontId="5" fillId="44" borderId="127" applyNumberFormat="0" applyProtection="0">
      <alignment horizontal="left" vertical="center" indent="1"/>
    </xf>
    <xf numFmtId="0" fontId="5" fillId="61" borderId="127" applyNumberFormat="0" applyProtection="0">
      <alignment horizontal="left" vertical="center" indent="1"/>
    </xf>
    <xf numFmtId="4" fontId="5" fillId="59" borderId="127" applyNumberFormat="0" applyProtection="0">
      <alignment horizontal="right" vertical="center"/>
    </xf>
    <xf numFmtId="0" fontId="5" fillId="44" borderId="128" applyNumberFormat="0" applyProtection="0">
      <alignment horizontal="left" vertical="top" indent="1"/>
    </xf>
    <xf numFmtId="0" fontId="5" fillId="60" borderId="128" applyNumberFormat="0" applyProtection="0">
      <alignment horizontal="left" vertical="top" indent="1"/>
    </xf>
    <xf numFmtId="4" fontId="38" fillId="20" borderId="131" applyNumberFormat="0" applyProtection="0">
      <alignment horizontal="right" vertical="center"/>
    </xf>
    <xf numFmtId="0" fontId="2" fillId="0" borderId="129">
      <alignment horizontal="left" vertical="center"/>
    </xf>
    <xf numFmtId="4" fontId="5" fillId="0" borderId="127" applyNumberFormat="0" applyProtection="0">
      <alignment horizontal="right" vertical="center"/>
    </xf>
    <xf numFmtId="4" fontId="111" fillId="15" borderId="127" applyNumberFormat="0" applyProtection="0">
      <alignment horizontal="right" vertical="center"/>
    </xf>
    <xf numFmtId="0" fontId="5" fillId="61" borderId="127" applyNumberFormat="0" applyProtection="0">
      <alignment horizontal="left" vertical="center" indent="1"/>
    </xf>
    <xf numFmtId="0" fontId="5" fillId="44" borderId="127" applyNumberFormat="0" applyProtection="0">
      <alignment horizontal="left" vertical="center" indent="1"/>
    </xf>
    <xf numFmtId="0" fontId="5" fillId="62" borderId="127" applyNumberFormat="0" applyProtection="0">
      <alignment horizontal="left" vertical="center" indent="1"/>
    </xf>
    <xf numFmtId="4" fontId="112" fillId="63" borderId="127" applyNumberFormat="0" applyProtection="0">
      <alignment horizontal="right" vertical="center"/>
    </xf>
    <xf numFmtId="4" fontId="5" fillId="50" borderId="127" applyNumberFormat="0" applyProtection="0">
      <alignment horizontal="left" vertical="center" indent="1"/>
    </xf>
    <xf numFmtId="4" fontId="5" fillId="0" borderId="127" applyNumberFormat="0" applyProtection="0">
      <alignment horizontal="right" vertical="center"/>
    </xf>
    <xf numFmtId="0" fontId="5" fillId="34" borderId="127" applyNumberFormat="0" applyProtection="0">
      <alignment horizontal="left" vertical="center" indent="1"/>
    </xf>
    <xf numFmtId="0" fontId="5" fillId="59" borderId="128" applyNumberFormat="0" applyProtection="0">
      <alignment horizontal="left" vertical="top" indent="1"/>
    </xf>
    <xf numFmtId="4" fontId="38" fillId="30" borderId="126" applyNumberFormat="0" applyProtection="0">
      <alignment horizontal="left" vertical="center" indent="1"/>
    </xf>
    <xf numFmtId="4" fontId="112" fillId="63" borderId="127" applyNumberFormat="0" applyProtection="0">
      <alignment horizontal="right" vertical="center"/>
    </xf>
    <xf numFmtId="0" fontId="5" fillId="62" borderId="127" applyNumberFormat="0" applyProtection="0">
      <alignment horizontal="left" vertical="center" indent="1"/>
    </xf>
    <xf numFmtId="0" fontId="5" fillId="44" borderId="127" applyNumberFormat="0" applyProtection="0">
      <alignment horizontal="left" vertical="center" indent="1"/>
    </xf>
    <xf numFmtId="0" fontId="5" fillId="61" borderId="127" applyNumberFormat="0" applyProtection="0">
      <alignment horizontal="left" vertical="center" indent="1"/>
    </xf>
    <xf numFmtId="4" fontId="5" fillId="59" borderId="127" applyNumberFormat="0" applyProtection="0">
      <alignment horizontal="right" vertical="center"/>
    </xf>
    <xf numFmtId="0" fontId="94" fillId="58" borderId="130" applyNumberFormat="0" applyFont="0" applyAlignment="0" applyProtection="0"/>
    <xf numFmtId="0" fontId="5" fillId="44" borderId="128" applyNumberFormat="0" applyProtection="0">
      <alignment horizontal="left" vertical="top" indent="1"/>
    </xf>
    <xf numFmtId="0" fontId="5" fillId="60" borderId="128" applyNumberFormat="0" applyProtection="0">
      <alignment horizontal="left" vertical="top" indent="1"/>
    </xf>
    <xf numFmtId="4" fontId="38" fillId="28" borderId="131" applyNumberFormat="0" applyProtection="0">
      <alignment horizontal="right" vertical="center"/>
    </xf>
    <xf numFmtId="0" fontId="94" fillId="58" borderId="130" applyNumberFormat="0" applyFont="0" applyAlignment="0" applyProtection="0"/>
    <xf numFmtId="4" fontId="38" fillId="27" borderId="131" applyNumberFormat="0" applyProtection="0">
      <alignment horizontal="right" vertical="center"/>
    </xf>
    <xf numFmtId="4" fontId="38" fillId="24" borderId="131" applyNumberFormat="0" applyProtection="0">
      <alignment horizontal="right" vertical="center"/>
    </xf>
    <xf numFmtId="4" fontId="65" fillId="29" borderId="131" applyNumberFormat="0" applyProtection="0">
      <alignment horizontal="left" vertical="center" indent="1"/>
    </xf>
    <xf numFmtId="4" fontId="5" fillId="0" borderId="127" applyNumberFormat="0" applyProtection="0">
      <alignment horizontal="right" vertical="center"/>
    </xf>
    <xf numFmtId="4" fontId="111" fillId="15" borderId="127" applyNumberFormat="0" applyProtection="0">
      <alignment horizontal="right" vertical="center"/>
    </xf>
    <xf numFmtId="4" fontId="5" fillId="50" borderId="127" applyNumberFormat="0" applyProtection="0">
      <alignment horizontal="left" vertical="center" indent="1"/>
    </xf>
    <xf numFmtId="0" fontId="5" fillId="60" borderId="128" applyNumberFormat="0" applyProtection="0">
      <alignment horizontal="left" vertical="top" indent="1"/>
    </xf>
    <xf numFmtId="0" fontId="5" fillId="59" borderId="128" applyNumberFormat="0" applyProtection="0">
      <alignment horizontal="left" vertical="top" indent="1"/>
    </xf>
    <xf numFmtId="0" fontId="5" fillId="44" borderId="128" applyNumberFormat="0" applyProtection="0">
      <alignment horizontal="left" vertical="top" indent="1"/>
    </xf>
    <xf numFmtId="0" fontId="5" fillId="34" borderId="127" applyNumberFormat="0" applyProtection="0">
      <alignment horizontal="left" vertical="center" indent="1"/>
    </xf>
    <xf numFmtId="4" fontId="5" fillId="59" borderId="127" applyNumberFormat="0" applyProtection="0">
      <alignment horizontal="right" vertical="center"/>
    </xf>
    <xf numFmtId="4" fontId="5" fillId="0" borderId="127" applyNumberFormat="0" applyProtection="0">
      <alignment horizontal="right" vertical="center"/>
    </xf>
    <xf numFmtId="4" fontId="111" fillId="15" borderId="127" applyNumberFormat="0" applyProtection="0">
      <alignment horizontal="right" vertical="center"/>
    </xf>
    <xf numFmtId="0" fontId="5" fillId="61" borderId="127" applyNumberFormat="0" applyProtection="0">
      <alignment horizontal="left" vertical="center" indent="1"/>
    </xf>
    <xf numFmtId="0" fontId="5" fillId="44" borderId="127" applyNumberFormat="0" applyProtection="0">
      <alignment horizontal="left" vertical="center" indent="1"/>
    </xf>
    <xf numFmtId="0" fontId="5" fillId="62" borderId="127" applyNumberFormat="0" applyProtection="0">
      <alignment horizontal="left" vertical="center" indent="1"/>
    </xf>
    <xf numFmtId="4" fontId="112" fillId="63" borderId="127" applyNumberFormat="0" applyProtection="0">
      <alignment horizontal="right" vertical="center"/>
    </xf>
    <xf numFmtId="4" fontId="5" fillId="50" borderId="127" applyNumberFormat="0" applyProtection="0">
      <alignment horizontal="left" vertical="center" indent="1"/>
    </xf>
    <xf numFmtId="4" fontId="5" fillId="0" borderId="127" applyNumberFormat="0" applyProtection="0">
      <alignment horizontal="right" vertical="center"/>
    </xf>
    <xf numFmtId="0" fontId="5" fillId="34" borderId="127" applyNumberFormat="0" applyProtection="0">
      <alignment horizontal="left" vertical="center" indent="1"/>
    </xf>
    <xf numFmtId="0" fontId="5" fillId="59" borderId="128" applyNumberFormat="0" applyProtection="0">
      <alignment horizontal="left" vertical="top" indent="1"/>
    </xf>
    <xf numFmtId="4" fontId="112" fillId="63" borderId="127" applyNumberFormat="0" applyProtection="0">
      <alignment horizontal="right" vertical="center"/>
    </xf>
    <xf numFmtId="0" fontId="5" fillId="62" borderId="127" applyNumberFormat="0" applyProtection="0">
      <alignment horizontal="left" vertical="center" indent="1"/>
    </xf>
    <xf numFmtId="0" fontId="5" fillId="44" borderId="127" applyNumberFormat="0" applyProtection="0">
      <alignment horizontal="left" vertical="center" indent="1"/>
    </xf>
    <xf numFmtId="0" fontId="5" fillId="61" borderId="127" applyNumberFormat="0" applyProtection="0">
      <alignment horizontal="left" vertical="center" indent="1"/>
    </xf>
    <xf numFmtId="4" fontId="5" fillId="59" borderId="127" applyNumberFormat="0" applyProtection="0">
      <alignment horizontal="right" vertical="center"/>
    </xf>
    <xf numFmtId="0" fontId="94" fillId="58" borderId="130" applyNumberFormat="0" applyFont="0" applyAlignment="0" applyProtection="0"/>
    <xf numFmtId="0" fontId="5" fillId="44" borderId="128" applyNumberFormat="0" applyProtection="0">
      <alignment horizontal="left" vertical="top" indent="1"/>
    </xf>
    <xf numFmtId="0" fontId="5" fillId="60" borderId="128" applyNumberFormat="0" applyProtection="0">
      <alignment horizontal="left" vertical="top" indent="1"/>
    </xf>
    <xf numFmtId="0" fontId="94" fillId="58" borderId="130" applyNumberFormat="0" applyFont="0" applyAlignment="0" applyProtection="0"/>
    <xf numFmtId="0" fontId="104" fillId="43" borderId="122" applyNumberFormat="0" applyAlignment="0" applyProtection="0"/>
    <xf numFmtId="0" fontId="1" fillId="58" borderId="130" applyNumberFormat="0" applyFont="0" applyAlignment="0" applyProtection="0"/>
    <xf numFmtId="0" fontId="107" fillId="34" borderId="131" applyNumberFormat="0" applyAlignment="0" applyProtection="0"/>
    <xf numFmtId="187" fontId="50" fillId="0" borderId="47"/>
    <xf numFmtId="4" fontId="38" fillId="25" borderId="131" applyNumberFormat="0" applyProtection="0">
      <alignment horizontal="right" vertical="center"/>
    </xf>
    <xf numFmtId="0" fontId="109" fillId="0" borderId="132" applyNumberFormat="0" applyFill="0" applyAlignment="0" applyProtection="0"/>
    <xf numFmtId="4" fontId="38" fillId="18" borderId="131" applyNumberFormat="0" applyProtection="0">
      <alignment vertical="center"/>
    </xf>
    <xf numFmtId="4" fontId="5" fillId="0" borderId="127" applyNumberFormat="0" applyProtection="0">
      <alignment horizontal="right" vertical="center"/>
    </xf>
    <xf numFmtId="4" fontId="111" fillId="15" borderId="127" applyNumberFormat="0" applyProtection="0">
      <alignment horizontal="right" vertical="center"/>
    </xf>
    <xf numFmtId="4" fontId="5" fillId="50" borderId="127" applyNumberFormat="0" applyProtection="0">
      <alignment horizontal="left" vertical="center" indent="1"/>
    </xf>
    <xf numFmtId="0" fontId="5" fillId="60" borderId="128" applyNumberFormat="0" applyProtection="0">
      <alignment horizontal="left" vertical="top" indent="1"/>
    </xf>
    <xf numFmtId="0" fontId="5" fillId="59" borderId="128" applyNumberFormat="0" applyProtection="0">
      <alignment horizontal="left" vertical="top" indent="1"/>
    </xf>
    <xf numFmtId="0" fontId="5" fillId="44" borderId="128" applyNumberFormat="0" applyProtection="0">
      <alignment horizontal="left" vertical="top" indent="1"/>
    </xf>
    <xf numFmtId="0" fontId="5" fillId="34" borderId="127" applyNumberFormat="0" applyProtection="0">
      <alignment horizontal="left" vertical="center" indent="1"/>
    </xf>
    <xf numFmtId="4" fontId="5" fillId="59" borderId="127" applyNumberFormat="0" applyProtection="0">
      <alignment horizontal="right" vertical="center"/>
    </xf>
    <xf numFmtId="4" fontId="5" fillId="0" borderId="127" applyNumberFormat="0" applyProtection="0">
      <alignment horizontal="right" vertical="center"/>
    </xf>
    <xf numFmtId="4" fontId="111" fillId="15" borderId="127" applyNumberFormat="0" applyProtection="0">
      <alignment horizontal="right" vertical="center"/>
    </xf>
    <xf numFmtId="0" fontId="5" fillId="61" borderId="127" applyNumberFormat="0" applyProtection="0">
      <alignment horizontal="left" vertical="center" indent="1"/>
    </xf>
    <xf numFmtId="0" fontId="5" fillId="44" borderId="127" applyNumberFormat="0" applyProtection="0">
      <alignment horizontal="left" vertical="center" indent="1"/>
    </xf>
    <xf numFmtId="0" fontId="5" fillId="62" borderId="127" applyNumberFormat="0" applyProtection="0">
      <alignment horizontal="left" vertical="center" indent="1"/>
    </xf>
    <xf numFmtId="4" fontId="112" fillId="63" borderId="127" applyNumberFormat="0" applyProtection="0">
      <alignment horizontal="right" vertical="center"/>
    </xf>
    <xf numFmtId="4" fontId="5" fillId="50" borderId="127" applyNumberFormat="0" applyProtection="0">
      <alignment horizontal="left" vertical="center" indent="1"/>
    </xf>
    <xf numFmtId="4" fontId="5" fillId="0" borderId="127" applyNumberFormat="0" applyProtection="0">
      <alignment horizontal="right" vertical="center"/>
    </xf>
    <xf numFmtId="0" fontId="5" fillId="34" borderId="127" applyNumberFormat="0" applyProtection="0">
      <alignment horizontal="left" vertical="center" indent="1"/>
    </xf>
    <xf numFmtId="0" fontId="5" fillId="59" borderId="128" applyNumberFormat="0" applyProtection="0">
      <alignment horizontal="left" vertical="top" indent="1"/>
    </xf>
    <xf numFmtId="4" fontId="112" fillId="63" borderId="127" applyNumberFormat="0" applyProtection="0">
      <alignment horizontal="right" vertical="center"/>
    </xf>
    <xf numFmtId="0" fontId="5" fillId="62" borderId="127" applyNumberFormat="0" applyProtection="0">
      <alignment horizontal="left" vertical="center" indent="1"/>
    </xf>
    <xf numFmtId="0" fontId="5" fillId="44" borderId="127" applyNumberFormat="0" applyProtection="0">
      <alignment horizontal="left" vertical="center" indent="1"/>
    </xf>
    <xf numFmtId="0" fontId="5" fillId="61" borderId="127" applyNumberFormat="0" applyProtection="0">
      <alignment horizontal="left" vertical="center" indent="1"/>
    </xf>
    <xf numFmtId="0" fontId="1" fillId="19" borderId="131" applyNumberFormat="0" applyProtection="0">
      <alignment horizontal="left" vertical="center" indent="1"/>
    </xf>
    <xf numFmtId="4" fontId="5" fillId="59" borderId="127" applyNumberFormat="0" applyProtection="0">
      <alignment horizontal="right" vertical="center"/>
    </xf>
    <xf numFmtId="0" fontId="94" fillId="58" borderId="130" applyNumberFormat="0" applyFont="0" applyAlignment="0" applyProtection="0"/>
    <xf numFmtId="0" fontId="5" fillId="44" borderId="128" applyNumberFormat="0" applyProtection="0">
      <alignment horizontal="left" vertical="top" indent="1"/>
    </xf>
    <xf numFmtId="0" fontId="5" fillId="60" borderId="128" applyNumberFormat="0" applyProtection="0">
      <alignment horizontal="left" vertical="top" indent="1"/>
    </xf>
    <xf numFmtId="5" fontId="36" fillId="0" borderId="47" applyAlignment="0" applyProtection="0"/>
    <xf numFmtId="0" fontId="1" fillId="19" borderId="131" applyNumberFormat="0" applyProtection="0">
      <alignment horizontal="left" vertical="center" indent="1"/>
    </xf>
    <xf numFmtId="0" fontId="94" fillId="58" borderId="130" applyNumberFormat="0" applyFont="0" applyAlignment="0" applyProtection="0"/>
    <xf numFmtId="4" fontId="38" fillId="18" borderId="131" applyNumberFormat="0" applyProtection="0">
      <alignment horizontal="left" vertical="center" indent="1"/>
    </xf>
    <xf numFmtId="4" fontId="38" fillId="3" borderId="131" applyNumberFormat="0" applyProtection="0">
      <alignment horizontal="left" vertical="center" indent="1"/>
    </xf>
    <xf numFmtId="0" fontId="1" fillId="33" borderId="131" applyNumberFormat="0" applyProtection="0">
      <alignment horizontal="left" vertical="center" indent="1"/>
    </xf>
    <xf numFmtId="4" fontId="68" fillId="30" borderId="131" applyNumberFormat="0" applyProtection="0">
      <alignment horizontal="right" vertical="center"/>
    </xf>
    <xf numFmtId="0" fontId="1" fillId="19" borderId="131" applyNumberFormat="0" applyProtection="0">
      <alignment horizontal="left" vertical="center" indent="1"/>
    </xf>
    <xf numFmtId="0" fontId="1" fillId="19" borderId="131" applyNumberFormat="0" applyProtection="0">
      <alignment horizontal="left" vertical="center" indent="1"/>
    </xf>
    <xf numFmtId="4" fontId="64" fillId="30" borderId="131" applyNumberFormat="0" applyProtection="0">
      <alignment horizontal="right" vertical="center"/>
    </xf>
    <xf numFmtId="4" fontId="38" fillId="30" borderId="131" applyNumberFormat="0" applyProtection="0">
      <alignment horizontal="right" vertical="center"/>
    </xf>
    <xf numFmtId="4" fontId="38" fillId="3" borderId="131" applyNumberFormat="0" applyProtection="0">
      <alignment horizontal="left" vertical="center" indent="1"/>
    </xf>
    <xf numFmtId="4" fontId="64" fillId="3" borderId="131" applyNumberFormat="0" applyProtection="0">
      <alignment vertical="center"/>
    </xf>
    <xf numFmtId="4" fontId="38" fillId="3" borderId="131" applyNumberFormat="0" applyProtection="0">
      <alignment vertical="center"/>
    </xf>
    <xf numFmtId="0" fontId="1" fillId="19" borderId="131" applyNumberFormat="0" applyProtection="0">
      <alignment horizontal="left" vertical="center" indent="1"/>
    </xf>
    <xf numFmtId="0" fontId="1" fillId="19" borderId="131" applyNumberFormat="0" applyProtection="0">
      <alignment horizontal="left" vertical="center" indent="1"/>
    </xf>
    <xf numFmtId="0" fontId="1" fillId="2" borderId="131" applyNumberFormat="0" applyProtection="0">
      <alignment horizontal="left" vertical="center" indent="1"/>
    </xf>
    <xf numFmtId="0" fontId="1" fillId="2" borderId="131" applyNumberFormat="0" applyProtection="0">
      <alignment horizontal="left" vertical="center" indent="1"/>
    </xf>
    <xf numFmtId="0" fontId="1" fillId="33" borderId="131" applyNumberFormat="0" applyProtection="0">
      <alignment horizontal="left" vertical="center" indent="1"/>
    </xf>
    <xf numFmtId="0" fontId="1" fillId="33" borderId="131" applyNumberFormat="0" applyProtection="0">
      <alignment horizontal="left" vertical="center" indent="1"/>
    </xf>
    <xf numFmtId="0" fontId="1" fillId="32" borderId="131" applyNumberFormat="0" applyProtection="0">
      <alignment horizontal="left" vertical="center" indent="1"/>
    </xf>
    <xf numFmtId="0" fontId="1" fillId="32" borderId="131" applyNumberFormat="0" applyProtection="0">
      <alignment horizontal="left" vertical="center" indent="1"/>
    </xf>
    <xf numFmtId="4" fontId="38" fillId="32" borderId="131" applyNumberFormat="0" applyProtection="0">
      <alignment horizontal="left" vertical="center" indent="1"/>
    </xf>
    <xf numFmtId="4" fontId="38" fillId="30" borderId="131" applyNumberFormat="0" applyProtection="0">
      <alignment horizontal="left" vertical="center" indent="1"/>
    </xf>
    <xf numFmtId="0" fontId="1" fillId="19" borderId="131" applyNumberFormat="0" applyProtection="0">
      <alignment horizontal="left" vertical="center" indent="1"/>
    </xf>
    <xf numFmtId="4" fontId="38" fillId="30" borderId="126" applyNumberFormat="0" applyProtection="0">
      <alignment horizontal="left" vertical="center" indent="1"/>
    </xf>
    <xf numFmtId="4" fontId="65" fillId="29" borderId="131" applyNumberFormat="0" applyProtection="0">
      <alignment horizontal="left" vertical="center" indent="1"/>
    </xf>
    <xf numFmtId="4" fontId="38" fillId="23" borderId="131" applyNumberFormat="0" applyProtection="0">
      <alignment horizontal="right" vertical="center"/>
    </xf>
    <xf numFmtId="0" fontId="1" fillId="19" borderId="131" applyNumberFormat="0" applyProtection="0">
      <alignment horizontal="left" vertical="center" indent="1"/>
    </xf>
    <xf numFmtId="4" fontId="38" fillId="18" borderId="131" applyNumberFormat="0" applyProtection="0">
      <alignment horizontal="left" vertical="center" indent="1"/>
    </xf>
    <xf numFmtId="4" fontId="38" fillId="18" borderId="131" applyNumberFormat="0" applyProtection="0">
      <alignment horizontal="left" vertical="center" indent="1"/>
    </xf>
    <xf numFmtId="4" fontId="64" fillId="18" borderId="131" applyNumberFormat="0" applyProtection="0">
      <alignment vertical="center"/>
    </xf>
    <xf numFmtId="4" fontId="38" fillId="18" borderId="131" applyNumberFormat="0" applyProtection="0">
      <alignment vertical="center"/>
    </xf>
    <xf numFmtId="0" fontId="109" fillId="0" borderId="132" applyNumberFormat="0" applyFill="0" applyAlignment="0" applyProtection="0"/>
    <xf numFmtId="0" fontId="107" fillId="34" borderId="131" applyNumberFormat="0" applyAlignment="0" applyProtection="0"/>
    <xf numFmtId="4" fontId="38" fillId="28" borderId="131" applyNumberFormat="0" applyProtection="0">
      <alignment horizontal="right" vertical="center"/>
    </xf>
    <xf numFmtId="0" fontId="97" fillId="34" borderId="122" applyNumberFormat="0" applyAlignment="0" applyProtection="0"/>
    <xf numFmtId="0" fontId="1" fillId="32" borderId="131" applyNumberFormat="0" applyProtection="0">
      <alignment horizontal="left" vertical="center" indent="1"/>
    </xf>
    <xf numFmtId="4" fontId="38" fillId="24" borderId="131" applyNumberFormat="0" applyProtection="0">
      <alignment horizontal="right" vertical="center"/>
    </xf>
    <xf numFmtId="0" fontId="104" fillId="43" borderId="122" applyNumberFormat="0" applyAlignment="0" applyProtection="0"/>
    <xf numFmtId="4" fontId="38" fillId="26" borderId="131" applyNumberFormat="0" applyProtection="0">
      <alignment horizontal="right" vertical="center"/>
    </xf>
    <xf numFmtId="4" fontId="38" fillId="26" borderId="131" applyNumberFormat="0" applyProtection="0">
      <alignment horizontal="right" vertical="center"/>
    </xf>
    <xf numFmtId="0" fontId="1" fillId="58" borderId="130" applyNumberFormat="0" applyFont="0" applyAlignment="0" applyProtection="0"/>
    <xf numFmtId="4" fontId="38" fillId="27" borderId="131" applyNumberFormat="0" applyProtection="0">
      <alignment horizontal="right" vertical="center"/>
    </xf>
    <xf numFmtId="4" fontId="38" fillId="25" borderId="131" applyNumberFormat="0" applyProtection="0">
      <alignment horizontal="right" vertical="center"/>
    </xf>
    <xf numFmtId="4" fontId="38" fillId="22" borderId="131" applyNumberFormat="0" applyProtection="0">
      <alignment horizontal="right" vertical="center"/>
    </xf>
    <xf numFmtId="0" fontId="1" fillId="19" borderId="131" applyNumberFormat="0" applyProtection="0">
      <alignment horizontal="left" vertical="center" indent="1"/>
    </xf>
    <xf numFmtId="0" fontId="1" fillId="58" borderId="130" applyNumberFormat="0" applyFont="0" applyAlignment="0" applyProtection="0"/>
    <xf numFmtId="5" fontId="55" fillId="0" borderId="120">
      <alignment horizontal="left" vertical="top"/>
    </xf>
    <xf numFmtId="0" fontId="1" fillId="19" borderId="131" applyNumberFormat="0" applyProtection="0">
      <alignment horizontal="left" vertical="center" indent="1"/>
    </xf>
    <xf numFmtId="4" fontId="38" fillId="32" borderId="131" applyNumberFormat="0" applyProtection="0">
      <alignment horizontal="left" vertical="center" indent="1"/>
    </xf>
    <xf numFmtId="0" fontId="1" fillId="32" borderId="131" applyNumberFormat="0" applyProtection="0">
      <alignment horizontal="left" vertical="center" indent="1"/>
    </xf>
    <xf numFmtId="0" fontId="1" fillId="2" borderId="131" applyNumberFormat="0" applyProtection="0">
      <alignment horizontal="left" vertical="center" indent="1"/>
    </xf>
    <xf numFmtId="4" fontId="38" fillId="3" borderId="131" applyNumberFormat="0" applyProtection="0">
      <alignment horizontal="left" vertical="center" indent="1"/>
    </xf>
    <xf numFmtId="0" fontId="107" fillId="34" borderId="131" applyNumberFormat="0" applyAlignment="0" applyProtection="0"/>
    <xf numFmtId="0" fontId="109" fillId="0" borderId="132" applyNumberFormat="0" applyFill="0" applyAlignment="0" applyProtection="0"/>
    <xf numFmtId="0" fontId="97" fillId="34" borderId="122" applyNumberFormat="0" applyAlignment="0" applyProtection="0"/>
    <xf numFmtId="4" fontId="5" fillId="59" borderId="127" applyNumberFormat="0" applyProtection="0">
      <alignment horizontal="right" vertical="center"/>
    </xf>
    <xf numFmtId="0" fontId="5" fillId="34" borderId="127" applyNumberFormat="0" applyProtection="0">
      <alignment horizontal="left" vertical="center" indent="1"/>
    </xf>
    <xf numFmtId="0" fontId="5" fillId="44" borderId="128" applyNumberFormat="0" applyProtection="0">
      <alignment horizontal="left" vertical="top" indent="1"/>
    </xf>
    <xf numFmtId="0" fontId="5" fillId="59" borderId="128" applyNumberFormat="0" applyProtection="0">
      <alignment horizontal="left" vertical="top" indent="1"/>
    </xf>
    <xf numFmtId="0" fontId="5" fillId="60" borderId="128" applyNumberFormat="0" applyProtection="0">
      <alignment horizontal="left" vertical="top" indent="1"/>
    </xf>
    <xf numFmtId="4" fontId="5" fillId="50" borderId="127" applyNumberFormat="0" applyProtection="0">
      <alignment horizontal="left" vertical="center" indent="1"/>
    </xf>
    <xf numFmtId="4" fontId="111" fillId="15" borderId="127" applyNumberFormat="0" applyProtection="0">
      <alignment horizontal="right" vertical="center"/>
    </xf>
    <xf numFmtId="4" fontId="5" fillId="0" borderId="127" applyNumberFormat="0" applyProtection="0">
      <alignment horizontal="right" vertical="center"/>
    </xf>
    <xf numFmtId="4" fontId="38" fillId="25" borderId="131" applyNumberFormat="0" applyProtection="0">
      <alignment horizontal="right" vertical="center"/>
    </xf>
    <xf numFmtId="6" fontId="79" fillId="36" borderId="120"/>
    <xf numFmtId="5" fontId="77" fillId="30" borderId="120">
      <alignment vertical="top"/>
    </xf>
    <xf numFmtId="0" fontId="1" fillId="33" borderId="131" applyNumberFormat="0" applyProtection="0">
      <alignment horizontal="left" vertical="center" indent="1"/>
    </xf>
    <xf numFmtId="0" fontId="1" fillId="2" borderId="131" applyNumberFormat="0" applyProtection="0">
      <alignment horizontal="left" vertical="center" indent="1"/>
    </xf>
    <xf numFmtId="0" fontId="1" fillId="19" borderId="131" applyNumberFormat="0" applyProtection="0">
      <alignment horizontal="left" vertical="center" indent="1"/>
    </xf>
    <xf numFmtId="0" fontId="1" fillId="19" borderId="131" applyNumberFormat="0" applyProtection="0">
      <alignment horizontal="left" vertical="center" indent="1"/>
    </xf>
    <xf numFmtId="4" fontId="38" fillId="3" borderId="131" applyNumberFormat="0" applyProtection="0">
      <alignment vertical="center"/>
    </xf>
    <xf numFmtId="4" fontId="64" fillId="3" borderId="131" applyNumberFormat="0" applyProtection="0">
      <alignment vertical="center"/>
    </xf>
    <xf numFmtId="4" fontId="38" fillId="3" borderId="131" applyNumberFormat="0" applyProtection="0">
      <alignment horizontal="left" vertical="center" indent="1"/>
    </xf>
    <xf numFmtId="4" fontId="38" fillId="30" borderId="131" applyNumberFormat="0" applyProtection="0">
      <alignment horizontal="right" vertical="center"/>
    </xf>
    <xf numFmtId="4" fontId="64" fillId="30" borderId="131" applyNumberFormat="0" applyProtection="0">
      <alignment horizontal="right" vertical="center"/>
    </xf>
    <xf numFmtId="0" fontId="1" fillId="19" borderId="131" applyNumberFormat="0" applyProtection="0">
      <alignment horizontal="left" vertical="center" indent="1"/>
    </xf>
    <xf numFmtId="4" fontId="68" fillId="30" borderId="131" applyNumberFormat="0" applyProtection="0">
      <alignment horizontal="right" vertical="center"/>
    </xf>
    <xf numFmtId="0" fontId="1" fillId="2" borderId="131" applyNumberFormat="0" applyProtection="0">
      <alignment horizontal="left" vertical="center" indent="1"/>
    </xf>
    <xf numFmtId="4" fontId="38" fillId="18" borderId="131" applyNumberFormat="0" applyProtection="0">
      <alignment horizontal="left" vertical="center" indent="1"/>
    </xf>
    <xf numFmtId="0" fontId="1" fillId="19" borderId="131" applyNumberFormat="0" applyProtection="0">
      <alignment horizontal="left" vertical="center" indent="1"/>
    </xf>
    <xf numFmtId="4" fontId="38" fillId="20" borderId="131" applyNumberFormat="0" applyProtection="0">
      <alignment horizontal="right" vertical="center"/>
    </xf>
    <xf numFmtId="4" fontId="38" fillId="21" borderId="131" applyNumberFormat="0" applyProtection="0">
      <alignment horizontal="right" vertical="center"/>
    </xf>
    <xf numFmtId="4" fontId="38" fillId="22" borderId="131" applyNumberFormat="0" applyProtection="0">
      <alignment horizontal="right" vertical="center"/>
    </xf>
    <xf numFmtId="0" fontId="2" fillId="0" borderId="129">
      <alignment horizontal="left" vertical="center"/>
    </xf>
    <xf numFmtId="4" fontId="38" fillId="23" borderId="131" applyNumberFormat="0" applyProtection="0">
      <alignment horizontal="right" vertical="center"/>
    </xf>
    <xf numFmtId="4" fontId="38" fillId="30" borderId="131" applyNumberFormat="0" applyProtection="0">
      <alignment horizontal="left" vertical="center" indent="1"/>
    </xf>
    <xf numFmtId="4" fontId="38" fillId="18" borderId="131" applyNumberFormat="0" applyProtection="0">
      <alignment vertical="center"/>
    </xf>
    <xf numFmtId="4" fontId="64" fillId="18" borderId="131" applyNumberFormat="0" applyProtection="0">
      <alignment vertical="center"/>
    </xf>
    <xf numFmtId="4" fontId="38" fillId="18" borderId="131" applyNumberFormat="0" applyProtection="0">
      <alignment horizontal="left" vertical="center" indent="1"/>
    </xf>
    <xf numFmtId="4" fontId="5" fillId="0" borderId="127" applyNumberFormat="0" applyProtection="0">
      <alignment horizontal="right" vertical="center"/>
    </xf>
    <xf numFmtId="4" fontId="111" fillId="15" borderId="127" applyNumberFormat="0" applyProtection="0">
      <alignment horizontal="right" vertical="center"/>
    </xf>
    <xf numFmtId="4" fontId="5" fillId="50" borderId="127" applyNumberFormat="0" applyProtection="0">
      <alignment horizontal="left" vertical="center" indent="1"/>
    </xf>
    <xf numFmtId="0" fontId="5" fillId="60" borderId="128" applyNumberFormat="0" applyProtection="0">
      <alignment horizontal="left" vertical="top" indent="1"/>
    </xf>
    <xf numFmtId="0" fontId="5" fillId="59" borderId="128" applyNumberFormat="0" applyProtection="0">
      <alignment horizontal="left" vertical="top" indent="1"/>
    </xf>
    <xf numFmtId="0" fontId="5" fillId="44" borderId="128" applyNumberFormat="0" applyProtection="0">
      <alignment horizontal="left" vertical="top" indent="1"/>
    </xf>
    <xf numFmtId="0" fontId="5" fillId="34" borderId="127" applyNumberFormat="0" applyProtection="0">
      <alignment horizontal="left" vertical="center" indent="1"/>
    </xf>
    <xf numFmtId="4" fontId="5" fillId="59" borderId="127" applyNumberFormat="0" applyProtection="0">
      <alignment horizontal="right" vertical="center"/>
    </xf>
    <xf numFmtId="4" fontId="5" fillId="0" borderId="127" applyNumberFormat="0" applyProtection="0">
      <alignment horizontal="right" vertical="center"/>
    </xf>
    <xf numFmtId="4" fontId="111" fillId="15" borderId="127" applyNumberFormat="0" applyProtection="0">
      <alignment horizontal="right" vertical="center"/>
    </xf>
    <xf numFmtId="0" fontId="5" fillId="61" borderId="127" applyNumberFormat="0" applyProtection="0">
      <alignment horizontal="left" vertical="center" indent="1"/>
    </xf>
    <xf numFmtId="0" fontId="5" fillId="44" borderId="127" applyNumberFormat="0" applyProtection="0">
      <alignment horizontal="left" vertical="center" indent="1"/>
    </xf>
    <xf numFmtId="0" fontId="5" fillId="62" borderId="127" applyNumberFormat="0" applyProtection="0">
      <alignment horizontal="left" vertical="center" indent="1"/>
    </xf>
    <xf numFmtId="4" fontId="112" fillId="63" borderId="127" applyNumberFormat="0" applyProtection="0">
      <alignment horizontal="right" vertical="center"/>
    </xf>
    <xf numFmtId="4" fontId="5" fillId="50" borderId="127" applyNumberFormat="0" applyProtection="0">
      <alignment horizontal="left" vertical="center" indent="1"/>
    </xf>
    <xf numFmtId="4" fontId="5" fillId="0" borderId="127" applyNumberFormat="0" applyProtection="0">
      <alignment horizontal="right" vertical="center"/>
    </xf>
    <xf numFmtId="0" fontId="5" fillId="34" borderId="127" applyNumberFormat="0" applyProtection="0">
      <alignment horizontal="left" vertical="center" indent="1"/>
    </xf>
    <xf numFmtId="0" fontId="5" fillId="59" borderId="128" applyNumberFormat="0" applyProtection="0">
      <alignment horizontal="left" vertical="top" indent="1"/>
    </xf>
    <xf numFmtId="4" fontId="38" fillId="21" borderId="131" applyNumberFormat="0" applyProtection="0">
      <alignment horizontal="right" vertical="center"/>
    </xf>
    <xf numFmtId="4" fontId="112" fillId="63" borderId="127" applyNumberFormat="0" applyProtection="0">
      <alignment horizontal="right" vertical="center"/>
    </xf>
    <xf numFmtId="0" fontId="5" fillId="62" borderId="127" applyNumberFormat="0" applyProtection="0">
      <alignment horizontal="left" vertical="center" indent="1"/>
    </xf>
    <xf numFmtId="0" fontId="5" fillId="44" borderId="127" applyNumberFormat="0" applyProtection="0">
      <alignment horizontal="left" vertical="center" indent="1"/>
    </xf>
    <xf numFmtId="0" fontId="5" fillId="61" borderId="127" applyNumberFormat="0" applyProtection="0">
      <alignment horizontal="left" vertical="center" indent="1"/>
    </xf>
    <xf numFmtId="4" fontId="5" fillId="59" borderId="127" applyNumberFormat="0" applyProtection="0">
      <alignment horizontal="right" vertical="center"/>
    </xf>
    <xf numFmtId="0" fontId="5" fillId="44" borderId="128" applyNumberFormat="0" applyProtection="0">
      <alignment horizontal="left" vertical="top" indent="1"/>
    </xf>
    <xf numFmtId="0" fontId="5" fillId="60" borderId="128" applyNumberFormat="0" applyProtection="0">
      <alignment horizontal="left" vertical="top" indent="1"/>
    </xf>
    <xf numFmtId="4" fontId="38" fillId="20" borderId="131" applyNumberFormat="0" applyProtection="0">
      <alignment horizontal="right" vertical="center"/>
    </xf>
    <xf numFmtId="0" fontId="2" fillId="0" borderId="134">
      <alignment horizontal="left" vertical="center"/>
    </xf>
    <xf numFmtId="4" fontId="5" fillId="0" borderId="127" applyNumberFormat="0" applyProtection="0">
      <alignment horizontal="right" vertical="center"/>
    </xf>
    <xf numFmtId="4" fontId="111" fillId="15" borderId="127" applyNumberFormat="0" applyProtection="0">
      <alignment horizontal="right" vertical="center"/>
    </xf>
    <xf numFmtId="0" fontId="5" fillId="61" borderId="127" applyNumberFormat="0" applyProtection="0">
      <alignment horizontal="left" vertical="center" indent="1"/>
    </xf>
    <xf numFmtId="0" fontId="5" fillId="44" borderId="127" applyNumberFormat="0" applyProtection="0">
      <alignment horizontal="left" vertical="center" indent="1"/>
    </xf>
    <xf numFmtId="0" fontId="5" fillId="62" borderId="127" applyNumberFormat="0" applyProtection="0">
      <alignment horizontal="left" vertical="center" indent="1"/>
    </xf>
    <xf numFmtId="4" fontId="112" fillId="63" borderId="127" applyNumberFormat="0" applyProtection="0">
      <alignment horizontal="right" vertical="center"/>
    </xf>
    <xf numFmtId="4" fontId="5" fillId="50" borderId="127" applyNumberFormat="0" applyProtection="0">
      <alignment horizontal="left" vertical="center" indent="1"/>
    </xf>
    <xf numFmtId="4" fontId="5" fillId="0" borderId="127" applyNumberFormat="0" applyProtection="0">
      <alignment horizontal="right" vertical="center"/>
    </xf>
    <xf numFmtId="0" fontId="5" fillId="34" borderId="127" applyNumberFormat="0" applyProtection="0">
      <alignment horizontal="left" vertical="center" indent="1"/>
    </xf>
    <xf numFmtId="0" fontId="5" fillId="59" borderId="128" applyNumberFormat="0" applyProtection="0">
      <alignment horizontal="left" vertical="top" indent="1"/>
    </xf>
    <xf numFmtId="4" fontId="38" fillId="30" borderId="126" applyNumberFormat="0" applyProtection="0">
      <alignment horizontal="left" vertical="center" indent="1"/>
    </xf>
    <xf numFmtId="4" fontId="112" fillId="63" borderId="127" applyNumberFormat="0" applyProtection="0">
      <alignment horizontal="right" vertical="center"/>
    </xf>
    <xf numFmtId="0" fontId="5" fillId="62" borderId="127" applyNumberFormat="0" applyProtection="0">
      <alignment horizontal="left" vertical="center" indent="1"/>
    </xf>
    <xf numFmtId="0" fontId="5" fillId="44" borderId="127" applyNumberFormat="0" applyProtection="0">
      <alignment horizontal="left" vertical="center" indent="1"/>
    </xf>
    <xf numFmtId="0" fontId="5" fillId="61" borderId="127" applyNumberFormat="0" applyProtection="0">
      <alignment horizontal="left" vertical="center" indent="1"/>
    </xf>
    <xf numFmtId="4" fontId="5" fillId="59" borderId="127" applyNumberFormat="0" applyProtection="0">
      <alignment horizontal="right" vertical="center"/>
    </xf>
    <xf numFmtId="0" fontId="94" fillId="58" borderId="130" applyNumberFormat="0" applyFont="0" applyAlignment="0" applyProtection="0"/>
    <xf numFmtId="0" fontId="5" fillId="44" borderId="128" applyNumberFormat="0" applyProtection="0">
      <alignment horizontal="left" vertical="top" indent="1"/>
    </xf>
    <xf numFmtId="0" fontId="5" fillId="60" borderId="128" applyNumberFormat="0" applyProtection="0">
      <alignment horizontal="left" vertical="top" indent="1"/>
    </xf>
    <xf numFmtId="4" fontId="38" fillId="28" borderId="131" applyNumberFormat="0" applyProtection="0">
      <alignment horizontal="right" vertical="center"/>
    </xf>
    <xf numFmtId="0" fontId="94" fillId="58" borderId="130" applyNumberFormat="0" applyFont="0" applyAlignment="0" applyProtection="0"/>
    <xf numFmtId="4" fontId="38" fillId="27" borderId="131" applyNumberFormat="0" applyProtection="0">
      <alignment horizontal="right" vertical="center"/>
    </xf>
    <xf numFmtId="4" fontId="38" fillId="24" borderId="131" applyNumberFormat="0" applyProtection="0">
      <alignment horizontal="right" vertical="center"/>
    </xf>
    <xf numFmtId="4" fontId="65" fillId="29" borderId="131" applyNumberFormat="0" applyProtection="0">
      <alignment horizontal="left" vertical="center" indent="1"/>
    </xf>
    <xf numFmtId="4" fontId="5" fillId="0" borderId="127" applyNumberFormat="0" applyProtection="0">
      <alignment horizontal="right" vertical="center"/>
    </xf>
    <xf numFmtId="4" fontId="111" fillId="15" borderId="127" applyNumberFormat="0" applyProtection="0">
      <alignment horizontal="right" vertical="center"/>
    </xf>
    <xf numFmtId="4" fontId="5" fillId="50" borderId="127" applyNumberFormat="0" applyProtection="0">
      <alignment horizontal="left" vertical="center" indent="1"/>
    </xf>
    <xf numFmtId="0" fontId="5" fillId="60" borderId="128" applyNumberFormat="0" applyProtection="0">
      <alignment horizontal="left" vertical="top" indent="1"/>
    </xf>
    <xf numFmtId="0" fontId="5" fillId="59" borderId="128" applyNumberFormat="0" applyProtection="0">
      <alignment horizontal="left" vertical="top" indent="1"/>
    </xf>
    <xf numFmtId="0" fontId="5" fillId="44" borderId="128" applyNumberFormat="0" applyProtection="0">
      <alignment horizontal="left" vertical="top" indent="1"/>
    </xf>
    <xf numFmtId="0" fontId="5" fillId="34" borderId="127" applyNumberFormat="0" applyProtection="0">
      <alignment horizontal="left" vertical="center" indent="1"/>
    </xf>
    <xf numFmtId="4" fontId="5" fillId="59" borderId="127" applyNumberFormat="0" applyProtection="0">
      <alignment horizontal="right" vertical="center"/>
    </xf>
    <xf numFmtId="4" fontId="5" fillId="0" borderId="127" applyNumberFormat="0" applyProtection="0">
      <alignment horizontal="right" vertical="center"/>
    </xf>
    <xf numFmtId="4" fontId="111" fillId="15" borderId="127" applyNumberFormat="0" applyProtection="0">
      <alignment horizontal="right" vertical="center"/>
    </xf>
    <xf numFmtId="0" fontId="5" fillId="61" borderId="127" applyNumberFormat="0" applyProtection="0">
      <alignment horizontal="left" vertical="center" indent="1"/>
    </xf>
    <xf numFmtId="0" fontId="5" fillId="44" borderId="127" applyNumberFormat="0" applyProtection="0">
      <alignment horizontal="left" vertical="center" indent="1"/>
    </xf>
    <xf numFmtId="0" fontId="5" fillId="62" borderId="127" applyNumberFormat="0" applyProtection="0">
      <alignment horizontal="left" vertical="center" indent="1"/>
    </xf>
    <xf numFmtId="4" fontId="112" fillId="63" borderId="127" applyNumberFormat="0" applyProtection="0">
      <alignment horizontal="right" vertical="center"/>
    </xf>
    <xf numFmtId="4" fontId="5" fillId="50" borderId="127" applyNumberFormat="0" applyProtection="0">
      <alignment horizontal="left" vertical="center" indent="1"/>
    </xf>
    <xf numFmtId="4" fontId="5" fillId="0" borderId="127" applyNumberFormat="0" applyProtection="0">
      <alignment horizontal="right" vertical="center"/>
    </xf>
    <xf numFmtId="0" fontId="5" fillId="34" borderId="127" applyNumberFormat="0" applyProtection="0">
      <alignment horizontal="left" vertical="center" indent="1"/>
    </xf>
    <xf numFmtId="0" fontId="5" fillId="59" borderId="128" applyNumberFormat="0" applyProtection="0">
      <alignment horizontal="left" vertical="top" indent="1"/>
    </xf>
    <xf numFmtId="4" fontId="112" fillId="63" borderId="127" applyNumberFormat="0" applyProtection="0">
      <alignment horizontal="right" vertical="center"/>
    </xf>
    <xf numFmtId="0" fontId="5" fillId="62" borderId="127" applyNumberFormat="0" applyProtection="0">
      <alignment horizontal="left" vertical="center" indent="1"/>
    </xf>
    <xf numFmtId="0" fontId="5" fillId="44" borderId="127" applyNumberFormat="0" applyProtection="0">
      <alignment horizontal="left" vertical="center" indent="1"/>
    </xf>
    <xf numFmtId="0" fontId="5" fillId="61" borderId="127" applyNumberFormat="0" applyProtection="0">
      <alignment horizontal="left" vertical="center" indent="1"/>
    </xf>
    <xf numFmtId="4" fontId="5" fillId="59" borderId="127" applyNumberFormat="0" applyProtection="0">
      <alignment horizontal="right" vertical="center"/>
    </xf>
    <xf numFmtId="0" fontId="94" fillId="58" borderId="130" applyNumberFormat="0" applyFont="0" applyAlignment="0" applyProtection="0"/>
    <xf numFmtId="0" fontId="5" fillId="44" borderId="128" applyNumberFormat="0" applyProtection="0">
      <alignment horizontal="left" vertical="top" indent="1"/>
    </xf>
    <xf numFmtId="0" fontId="5" fillId="60" borderId="128" applyNumberFormat="0" applyProtection="0">
      <alignment horizontal="left" vertical="top" indent="1"/>
    </xf>
    <xf numFmtId="0" fontId="94" fillId="58" borderId="130" applyNumberFormat="0" applyFont="0" applyAlignment="0" applyProtection="0"/>
    <xf numFmtId="0" fontId="1" fillId="58" borderId="130" applyNumberFormat="0" applyFont="0" applyAlignment="0" applyProtection="0"/>
    <xf numFmtId="0" fontId="107" fillId="34" borderId="131" applyNumberFormat="0" applyAlignment="0" applyProtection="0"/>
    <xf numFmtId="187" fontId="50" fillId="0" borderId="47"/>
    <xf numFmtId="0" fontId="109" fillId="0" borderId="132" applyNumberFormat="0" applyFill="0" applyAlignment="0" applyProtection="0"/>
    <xf numFmtId="4" fontId="5" fillId="0" borderId="127" applyNumberFormat="0" applyProtection="0">
      <alignment horizontal="right" vertical="center"/>
    </xf>
    <xf numFmtId="4" fontId="111" fillId="15" borderId="127" applyNumberFormat="0" applyProtection="0">
      <alignment horizontal="right" vertical="center"/>
    </xf>
    <xf numFmtId="4" fontId="5" fillId="50" borderId="127" applyNumberFormat="0" applyProtection="0">
      <alignment horizontal="left" vertical="center" indent="1"/>
    </xf>
    <xf numFmtId="0" fontId="5" fillId="60" borderId="128" applyNumberFormat="0" applyProtection="0">
      <alignment horizontal="left" vertical="top" indent="1"/>
    </xf>
    <xf numFmtId="0" fontId="5" fillId="59" borderId="128" applyNumberFormat="0" applyProtection="0">
      <alignment horizontal="left" vertical="top" indent="1"/>
    </xf>
    <xf numFmtId="0" fontId="5" fillId="44" borderId="128" applyNumberFormat="0" applyProtection="0">
      <alignment horizontal="left" vertical="top" indent="1"/>
    </xf>
    <xf numFmtId="0" fontId="5" fillId="34" borderId="127" applyNumberFormat="0" applyProtection="0">
      <alignment horizontal="left" vertical="center" indent="1"/>
    </xf>
    <xf numFmtId="4" fontId="5" fillId="59" borderId="127" applyNumberFormat="0" applyProtection="0">
      <alignment horizontal="right" vertical="center"/>
    </xf>
    <xf numFmtId="4" fontId="5" fillId="0" borderId="127" applyNumberFormat="0" applyProtection="0">
      <alignment horizontal="right" vertical="center"/>
    </xf>
    <xf numFmtId="4" fontId="111" fillId="15" borderId="127" applyNumberFormat="0" applyProtection="0">
      <alignment horizontal="right" vertical="center"/>
    </xf>
    <xf numFmtId="0" fontId="5" fillId="61" borderId="127" applyNumberFormat="0" applyProtection="0">
      <alignment horizontal="left" vertical="center" indent="1"/>
    </xf>
    <xf numFmtId="0" fontId="5" fillId="44" borderId="127" applyNumberFormat="0" applyProtection="0">
      <alignment horizontal="left" vertical="center" indent="1"/>
    </xf>
    <xf numFmtId="0" fontId="5" fillId="62" borderId="127" applyNumberFormat="0" applyProtection="0">
      <alignment horizontal="left" vertical="center" indent="1"/>
    </xf>
    <xf numFmtId="4" fontId="112" fillId="63" borderId="127" applyNumberFormat="0" applyProtection="0">
      <alignment horizontal="right" vertical="center"/>
    </xf>
    <xf numFmtId="4" fontId="5" fillId="50" borderId="127" applyNumberFormat="0" applyProtection="0">
      <alignment horizontal="left" vertical="center" indent="1"/>
    </xf>
    <xf numFmtId="4" fontId="5" fillId="0" borderId="127" applyNumberFormat="0" applyProtection="0">
      <alignment horizontal="right" vertical="center"/>
    </xf>
    <xf numFmtId="0" fontId="5" fillId="34" borderId="127" applyNumberFormat="0" applyProtection="0">
      <alignment horizontal="left" vertical="center" indent="1"/>
    </xf>
    <xf numFmtId="0" fontId="5" fillId="59" borderId="128" applyNumberFormat="0" applyProtection="0">
      <alignment horizontal="left" vertical="top" indent="1"/>
    </xf>
    <xf numFmtId="4" fontId="112" fillId="63" borderId="127" applyNumberFormat="0" applyProtection="0">
      <alignment horizontal="right" vertical="center"/>
    </xf>
    <xf numFmtId="0" fontId="5" fillId="62" borderId="127" applyNumberFormat="0" applyProtection="0">
      <alignment horizontal="left" vertical="center" indent="1"/>
    </xf>
    <xf numFmtId="0" fontId="5" fillId="44" borderId="127" applyNumberFormat="0" applyProtection="0">
      <alignment horizontal="left" vertical="center" indent="1"/>
    </xf>
    <xf numFmtId="0" fontId="5" fillId="61" borderId="127" applyNumberFormat="0" applyProtection="0">
      <alignment horizontal="left" vertical="center" indent="1"/>
    </xf>
    <xf numFmtId="0" fontId="1" fillId="19" borderId="131" applyNumberFormat="0" applyProtection="0">
      <alignment horizontal="left" vertical="center" indent="1"/>
    </xf>
    <xf numFmtId="4" fontId="5" fillId="59" borderId="127" applyNumberFormat="0" applyProtection="0">
      <alignment horizontal="right" vertical="center"/>
    </xf>
    <xf numFmtId="0" fontId="94" fillId="58" borderId="130" applyNumberFormat="0" applyFont="0" applyAlignment="0" applyProtection="0"/>
    <xf numFmtId="0" fontId="5" fillId="44" borderId="128" applyNumberFormat="0" applyProtection="0">
      <alignment horizontal="left" vertical="top" indent="1"/>
    </xf>
    <xf numFmtId="0" fontId="5" fillId="60" borderId="128" applyNumberFormat="0" applyProtection="0">
      <alignment horizontal="left" vertical="top" indent="1"/>
    </xf>
    <xf numFmtId="5" fontId="36" fillId="0" borderId="47" applyAlignment="0" applyProtection="0"/>
    <xf numFmtId="0" fontId="1" fillId="19" borderId="131" applyNumberFormat="0" applyProtection="0">
      <alignment horizontal="left" vertical="center" indent="1"/>
    </xf>
    <xf numFmtId="0" fontId="94" fillId="58" borderId="130" applyNumberFormat="0" applyFont="0" applyAlignment="0" applyProtection="0"/>
    <xf numFmtId="0" fontId="97" fillId="34" borderId="122" applyNumberFormat="0" applyAlignment="0" applyProtection="0"/>
    <xf numFmtId="4" fontId="38" fillId="18" borderId="131" applyNumberFormat="0" applyProtection="0">
      <alignment horizontal="left" vertical="center" indent="1"/>
    </xf>
    <xf numFmtId="4" fontId="38" fillId="3" borderId="131" applyNumberFormat="0" applyProtection="0">
      <alignment horizontal="left" vertical="center" indent="1"/>
    </xf>
    <xf numFmtId="0" fontId="1" fillId="33" borderId="131" applyNumberFormat="0" applyProtection="0">
      <alignment horizontal="left" vertical="center" indent="1"/>
    </xf>
    <xf numFmtId="4" fontId="68" fillId="30" borderId="131" applyNumberFormat="0" applyProtection="0">
      <alignment horizontal="right" vertical="center"/>
    </xf>
    <xf numFmtId="0" fontId="1" fillId="19" borderId="131" applyNumberFormat="0" applyProtection="0">
      <alignment horizontal="left" vertical="center" indent="1"/>
    </xf>
    <xf numFmtId="0" fontId="1" fillId="19" borderId="131" applyNumberFormat="0" applyProtection="0">
      <alignment horizontal="left" vertical="center" indent="1"/>
    </xf>
    <xf numFmtId="4" fontId="64" fillId="30" borderId="131" applyNumberFormat="0" applyProtection="0">
      <alignment horizontal="right" vertical="center"/>
    </xf>
    <xf numFmtId="4" fontId="38" fillId="30" borderId="131" applyNumberFormat="0" applyProtection="0">
      <alignment horizontal="right" vertical="center"/>
    </xf>
    <xf numFmtId="4" fontId="38" fillId="3" borderId="131" applyNumberFormat="0" applyProtection="0">
      <alignment horizontal="left" vertical="center" indent="1"/>
    </xf>
    <xf numFmtId="4" fontId="64" fillId="3" borderId="131" applyNumberFormat="0" applyProtection="0">
      <alignment vertical="center"/>
    </xf>
    <xf numFmtId="4" fontId="38" fillId="3" borderId="131" applyNumberFormat="0" applyProtection="0">
      <alignment vertical="center"/>
    </xf>
    <xf numFmtId="0" fontId="1" fillId="19" borderId="131" applyNumberFormat="0" applyProtection="0">
      <alignment horizontal="left" vertical="center" indent="1"/>
    </xf>
    <xf numFmtId="0" fontId="1" fillId="19" borderId="131" applyNumberFormat="0" applyProtection="0">
      <alignment horizontal="left" vertical="center" indent="1"/>
    </xf>
    <xf numFmtId="0" fontId="1" fillId="2" borderId="131" applyNumberFormat="0" applyProtection="0">
      <alignment horizontal="left" vertical="center" indent="1"/>
    </xf>
    <xf numFmtId="0" fontId="1" fillId="2" borderId="131" applyNumberFormat="0" applyProtection="0">
      <alignment horizontal="left" vertical="center" indent="1"/>
    </xf>
    <xf numFmtId="0" fontId="1" fillId="33" borderId="131" applyNumberFormat="0" applyProtection="0">
      <alignment horizontal="left" vertical="center" indent="1"/>
    </xf>
    <xf numFmtId="0" fontId="1" fillId="33" borderId="131" applyNumberFormat="0" applyProtection="0">
      <alignment horizontal="left" vertical="center" indent="1"/>
    </xf>
    <xf numFmtId="0" fontId="1" fillId="32" borderId="131" applyNumberFormat="0" applyProtection="0">
      <alignment horizontal="left" vertical="center" indent="1"/>
    </xf>
    <xf numFmtId="0" fontId="1" fillId="32" borderId="131" applyNumberFormat="0" applyProtection="0">
      <alignment horizontal="left" vertical="center" indent="1"/>
    </xf>
    <xf numFmtId="4" fontId="38" fillId="32" borderId="131" applyNumberFormat="0" applyProtection="0">
      <alignment horizontal="left" vertical="center" indent="1"/>
    </xf>
    <xf numFmtId="4" fontId="38" fillId="30" borderId="131" applyNumberFormat="0" applyProtection="0">
      <alignment horizontal="left" vertical="center" indent="1"/>
    </xf>
    <xf numFmtId="0" fontId="1" fillId="19" borderId="131" applyNumberFormat="0" applyProtection="0">
      <alignment horizontal="left" vertical="center" indent="1"/>
    </xf>
    <xf numFmtId="4" fontId="38" fillId="30" borderId="126" applyNumberFormat="0" applyProtection="0">
      <alignment horizontal="left" vertical="center" indent="1"/>
    </xf>
    <xf numFmtId="4" fontId="65" fillId="29" borderId="131" applyNumberFormat="0" applyProtection="0">
      <alignment horizontal="left" vertical="center" indent="1"/>
    </xf>
    <xf numFmtId="4" fontId="38" fillId="23" borderId="131" applyNumberFormat="0" applyProtection="0">
      <alignment horizontal="right" vertical="center"/>
    </xf>
    <xf numFmtId="0" fontId="1" fillId="19" borderId="131" applyNumberFormat="0" applyProtection="0">
      <alignment horizontal="left" vertical="center" indent="1"/>
    </xf>
    <xf numFmtId="4" fontId="38" fillId="18" borderId="131" applyNumberFormat="0" applyProtection="0">
      <alignment horizontal="left" vertical="center" indent="1"/>
    </xf>
    <xf numFmtId="4" fontId="38" fillId="18" borderId="131" applyNumberFormat="0" applyProtection="0">
      <alignment horizontal="left" vertical="center" indent="1"/>
    </xf>
    <xf numFmtId="4" fontId="64" fillId="18" borderId="131" applyNumberFormat="0" applyProtection="0">
      <alignment vertical="center"/>
    </xf>
    <xf numFmtId="4" fontId="38" fillId="18" borderId="131" applyNumberFormat="0" applyProtection="0">
      <alignment vertical="center"/>
    </xf>
    <xf numFmtId="0" fontId="109" fillId="0" borderId="132" applyNumberFormat="0" applyFill="0" applyAlignment="0" applyProtection="0"/>
    <xf numFmtId="0" fontId="107" fillId="34" borderId="131" applyNumberFormat="0" applyAlignment="0" applyProtection="0"/>
    <xf numFmtId="4" fontId="38" fillId="28" borderId="131" applyNumberFormat="0" applyProtection="0">
      <alignment horizontal="right" vertical="center"/>
    </xf>
    <xf numFmtId="0" fontId="97" fillId="34" borderId="122" applyNumberFormat="0" applyAlignment="0" applyProtection="0"/>
    <xf numFmtId="0" fontId="1" fillId="32" borderId="131" applyNumberFormat="0" applyProtection="0">
      <alignment horizontal="left" vertical="center" indent="1"/>
    </xf>
    <xf numFmtId="4" fontId="38" fillId="24" borderId="131" applyNumberFormat="0" applyProtection="0">
      <alignment horizontal="right" vertical="center"/>
    </xf>
    <xf numFmtId="0" fontId="104" fillId="43" borderId="122" applyNumberFormat="0" applyAlignment="0" applyProtection="0"/>
    <xf numFmtId="4" fontId="38" fillId="26" borderId="131" applyNumberFormat="0" applyProtection="0">
      <alignment horizontal="right" vertical="center"/>
    </xf>
    <xf numFmtId="4" fontId="38" fillId="26" borderId="131" applyNumberFormat="0" applyProtection="0">
      <alignment horizontal="right" vertical="center"/>
    </xf>
    <xf numFmtId="0" fontId="1" fillId="58" borderId="130" applyNumberFormat="0" applyFont="0" applyAlignment="0" applyProtection="0"/>
    <xf numFmtId="4" fontId="38" fillId="27" borderId="131" applyNumberFormat="0" applyProtection="0">
      <alignment horizontal="right" vertical="center"/>
    </xf>
    <xf numFmtId="4" fontId="38" fillId="25" borderId="131" applyNumberFormat="0" applyProtection="0">
      <alignment horizontal="right" vertical="center"/>
    </xf>
    <xf numFmtId="4" fontId="38" fillId="22" borderId="131" applyNumberFormat="0" applyProtection="0">
      <alignment horizontal="right" vertical="center"/>
    </xf>
    <xf numFmtId="0" fontId="1" fillId="19" borderId="131" applyNumberFormat="0" applyProtection="0">
      <alignment horizontal="left" vertical="center" indent="1"/>
    </xf>
    <xf numFmtId="0" fontId="1" fillId="58" borderId="130" applyNumberFormat="0" applyFont="0" applyAlignment="0" applyProtection="0"/>
    <xf numFmtId="5" fontId="55" fillId="0" borderId="120">
      <alignment horizontal="left" vertical="top"/>
    </xf>
    <xf numFmtId="0" fontId="1" fillId="19" borderId="131" applyNumberFormat="0" applyProtection="0">
      <alignment horizontal="left" vertical="center" indent="1"/>
    </xf>
    <xf numFmtId="4" fontId="38" fillId="32" borderId="131" applyNumberFormat="0" applyProtection="0">
      <alignment horizontal="left" vertical="center" indent="1"/>
    </xf>
    <xf numFmtId="0" fontId="1" fillId="32" borderId="131" applyNumberFormat="0" applyProtection="0">
      <alignment horizontal="left" vertical="center" indent="1"/>
    </xf>
    <xf numFmtId="0" fontId="1" fillId="2" borderId="131" applyNumberFormat="0" applyProtection="0">
      <alignment horizontal="left" vertical="center" indent="1"/>
    </xf>
    <xf numFmtId="4" fontId="38" fillId="3" borderId="131" applyNumberFormat="0" applyProtection="0">
      <alignment horizontal="left" vertical="center" indent="1"/>
    </xf>
    <xf numFmtId="0" fontId="107" fillId="34" borderId="131" applyNumberFormat="0" applyAlignment="0" applyProtection="0"/>
    <xf numFmtId="0" fontId="109" fillId="0" borderId="132" applyNumberFormat="0" applyFill="0" applyAlignment="0" applyProtection="0"/>
    <xf numFmtId="4" fontId="5" fillId="59" borderId="127" applyNumberFormat="0" applyProtection="0">
      <alignment horizontal="right" vertical="center"/>
    </xf>
    <xf numFmtId="0" fontId="5" fillId="34" borderId="127" applyNumberFormat="0" applyProtection="0">
      <alignment horizontal="left" vertical="center" indent="1"/>
    </xf>
    <xf numFmtId="0" fontId="5" fillId="44" borderId="128" applyNumberFormat="0" applyProtection="0">
      <alignment horizontal="left" vertical="top" indent="1"/>
    </xf>
    <xf numFmtId="0" fontId="5" fillId="59" borderId="128" applyNumberFormat="0" applyProtection="0">
      <alignment horizontal="left" vertical="top" indent="1"/>
    </xf>
    <xf numFmtId="0" fontId="5" fillId="60" borderId="128" applyNumberFormat="0" applyProtection="0">
      <alignment horizontal="left" vertical="top" indent="1"/>
    </xf>
    <xf numFmtId="4" fontId="5" fillId="50" borderId="127" applyNumberFormat="0" applyProtection="0">
      <alignment horizontal="left" vertical="center" indent="1"/>
    </xf>
    <xf numFmtId="4" fontId="111" fillId="15" borderId="127" applyNumberFormat="0" applyProtection="0">
      <alignment horizontal="right" vertical="center"/>
    </xf>
    <xf numFmtId="4" fontId="5" fillId="0" borderId="127" applyNumberFormat="0" applyProtection="0">
      <alignment horizontal="right" vertical="center"/>
    </xf>
    <xf numFmtId="4" fontId="38" fillId="25" borderId="131" applyNumberFormat="0" applyProtection="0">
      <alignment horizontal="right" vertical="center"/>
    </xf>
    <xf numFmtId="6" fontId="79" fillId="36" borderId="120"/>
    <xf numFmtId="5" fontId="77" fillId="30" borderId="120">
      <alignment vertical="top"/>
    </xf>
    <xf numFmtId="0" fontId="2" fillId="0" borderId="134">
      <alignment horizontal="left" vertical="center"/>
    </xf>
    <xf numFmtId="0" fontId="1" fillId="33" borderId="131" applyNumberFormat="0" applyProtection="0">
      <alignment horizontal="left" vertical="center" indent="1"/>
    </xf>
    <xf numFmtId="0" fontId="1" fillId="2" borderId="131" applyNumberFormat="0" applyProtection="0">
      <alignment horizontal="left" vertical="center" indent="1"/>
    </xf>
    <xf numFmtId="0" fontId="1" fillId="19" borderId="131" applyNumberFormat="0" applyProtection="0">
      <alignment horizontal="left" vertical="center" indent="1"/>
    </xf>
    <xf numFmtId="0" fontId="1" fillId="19" borderId="131" applyNumberFormat="0" applyProtection="0">
      <alignment horizontal="left" vertical="center" indent="1"/>
    </xf>
    <xf numFmtId="4" fontId="38" fillId="3" borderId="131" applyNumberFormat="0" applyProtection="0">
      <alignment vertical="center"/>
    </xf>
    <xf numFmtId="4" fontId="64" fillId="3" borderId="131" applyNumberFormat="0" applyProtection="0">
      <alignment vertical="center"/>
    </xf>
    <xf numFmtId="4" fontId="38" fillId="3" borderId="131" applyNumberFormat="0" applyProtection="0">
      <alignment horizontal="left" vertical="center" indent="1"/>
    </xf>
    <xf numFmtId="4" fontId="38" fillId="30" borderId="131" applyNumberFormat="0" applyProtection="0">
      <alignment horizontal="right" vertical="center"/>
    </xf>
    <xf numFmtId="4" fontId="64" fillId="30" borderId="131" applyNumberFormat="0" applyProtection="0">
      <alignment horizontal="right" vertical="center"/>
    </xf>
    <xf numFmtId="0" fontId="1" fillId="19" borderId="131" applyNumberFormat="0" applyProtection="0">
      <alignment horizontal="left" vertical="center" indent="1"/>
    </xf>
    <xf numFmtId="4" fontId="68" fillId="30" borderId="131" applyNumberFormat="0" applyProtection="0">
      <alignment horizontal="right" vertical="center"/>
    </xf>
    <xf numFmtId="0" fontId="1" fillId="2" borderId="131" applyNumberFormat="0" applyProtection="0">
      <alignment horizontal="left" vertical="center" indent="1"/>
    </xf>
    <xf numFmtId="4" fontId="38" fillId="18" borderId="131" applyNumberFormat="0" applyProtection="0">
      <alignment horizontal="left" vertical="center" indent="1"/>
    </xf>
    <xf numFmtId="0" fontId="1" fillId="19" borderId="131" applyNumberFormat="0" applyProtection="0">
      <alignment horizontal="left" vertical="center" indent="1"/>
    </xf>
    <xf numFmtId="4" fontId="38" fillId="20" borderId="131" applyNumberFormat="0" applyProtection="0">
      <alignment horizontal="right" vertical="center"/>
    </xf>
    <xf numFmtId="4" fontId="38" fillId="21" borderId="131" applyNumberFormat="0" applyProtection="0">
      <alignment horizontal="right" vertical="center"/>
    </xf>
    <xf numFmtId="4" fontId="38" fillId="22" borderId="131" applyNumberFormat="0" applyProtection="0">
      <alignment horizontal="right" vertical="center"/>
    </xf>
    <xf numFmtId="0" fontId="2" fillId="0" borderId="129">
      <alignment horizontal="left" vertical="center"/>
    </xf>
    <xf numFmtId="4" fontId="38" fillId="23" borderId="131" applyNumberFormat="0" applyProtection="0">
      <alignment horizontal="right" vertical="center"/>
    </xf>
    <xf numFmtId="4" fontId="38" fillId="30" borderId="131" applyNumberFormat="0" applyProtection="0">
      <alignment horizontal="left" vertical="center" indent="1"/>
    </xf>
    <xf numFmtId="4" fontId="38" fillId="18" borderId="131" applyNumberFormat="0" applyProtection="0">
      <alignment vertical="center"/>
    </xf>
    <xf numFmtId="4" fontId="64" fillId="18" borderId="131" applyNumberFormat="0" applyProtection="0">
      <alignment vertical="center"/>
    </xf>
    <xf numFmtId="4" fontId="38" fillId="18" borderId="131" applyNumberFormat="0" applyProtection="0">
      <alignment horizontal="left" vertical="center" indent="1"/>
    </xf>
    <xf numFmtId="4" fontId="5" fillId="0" borderId="127" applyNumberFormat="0" applyProtection="0">
      <alignment horizontal="right" vertical="center"/>
    </xf>
    <xf numFmtId="4" fontId="111" fillId="15" borderId="127" applyNumberFormat="0" applyProtection="0">
      <alignment horizontal="right" vertical="center"/>
    </xf>
    <xf numFmtId="4" fontId="5" fillId="50" borderId="127" applyNumberFormat="0" applyProtection="0">
      <alignment horizontal="left" vertical="center" indent="1"/>
    </xf>
    <xf numFmtId="0" fontId="5" fillId="60" borderId="128" applyNumberFormat="0" applyProtection="0">
      <alignment horizontal="left" vertical="top" indent="1"/>
    </xf>
    <xf numFmtId="0" fontId="5" fillId="59" borderId="128" applyNumberFormat="0" applyProtection="0">
      <alignment horizontal="left" vertical="top" indent="1"/>
    </xf>
    <xf numFmtId="0" fontId="5" fillId="44" borderId="128" applyNumberFormat="0" applyProtection="0">
      <alignment horizontal="left" vertical="top" indent="1"/>
    </xf>
    <xf numFmtId="0" fontId="5" fillId="34" borderId="127" applyNumberFormat="0" applyProtection="0">
      <alignment horizontal="left" vertical="center" indent="1"/>
    </xf>
    <xf numFmtId="4" fontId="5" fillId="59" borderId="127" applyNumberFormat="0" applyProtection="0">
      <alignment horizontal="right" vertical="center"/>
    </xf>
    <xf numFmtId="4" fontId="5" fillId="0" borderId="127" applyNumberFormat="0" applyProtection="0">
      <alignment horizontal="right" vertical="center"/>
    </xf>
    <xf numFmtId="4" fontId="111" fillId="15" borderId="127" applyNumberFormat="0" applyProtection="0">
      <alignment horizontal="right" vertical="center"/>
    </xf>
    <xf numFmtId="0" fontId="5" fillId="61" borderId="127" applyNumberFormat="0" applyProtection="0">
      <alignment horizontal="left" vertical="center" indent="1"/>
    </xf>
    <xf numFmtId="0" fontId="5" fillId="44" borderId="127" applyNumberFormat="0" applyProtection="0">
      <alignment horizontal="left" vertical="center" indent="1"/>
    </xf>
    <xf numFmtId="0" fontId="5" fillId="62" borderId="127" applyNumberFormat="0" applyProtection="0">
      <alignment horizontal="left" vertical="center" indent="1"/>
    </xf>
    <xf numFmtId="4" fontId="112" fillId="63" borderId="127" applyNumberFormat="0" applyProtection="0">
      <alignment horizontal="right" vertical="center"/>
    </xf>
    <xf numFmtId="4" fontId="5" fillId="50" borderId="127" applyNumberFormat="0" applyProtection="0">
      <alignment horizontal="left" vertical="center" indent="1"/>
    </xf>
    <xf numFmtId="4" fontId="5" fillId="0" borderId="127" applyNumberFormat="0" applyProtection="0">
      <alignment horizontal="right" vertical="center"/>
    </xf>
    <xf numFmtId="0" fontId="5" fillId="34" borderId="127" applyNumberFormat="0" applyProtection="0">
      <alignment horizontal="left" vertical="center" indent="1"/>
    </xf>
    <xf numFmtId="0" fontId="5" fillId="59" borderId="128" applyNumberFormat="0" applyProtection="0">
      <alignment horizontal="left" vertical="top" indent="1"/>
    </xf>
    <xf numFmtId="4" fontId="38" fillId="21" borderId="131" applyNumberFormat="0" applyProtection="0">
      <alignment horizontal="right" vertical="center"/>
    </xf>
    <xf numFmtId="4" fontId="112" fillId="63" borderId="127" applyNumberFormat="0" applyProtection="0">
      <alignment horizontal="right" vertical="center"/>
    </xf>
    <xf numFmtId="0" fontId="5" fillId="62" borderId="127" applyNumberFormat="0" applyProtection="0">
      <alignment horizontal="left" vertical="center" indent="1"/>
    </xf>
    <xf numFmtId="0" fontId="5" fillId="44" borderId="127" applyNumberFormat="0" applyProtection="0">
      <alignment horizontal="left" vertical="center" indent="1"/>
    </xf>
    <xf numFmtId="0" fontId="5" fillId="61" borderId="127" applyNumberFormat="0" applyProtection="0">
      <alignment horizontal="left" vertical="center" indent="1"/>
    </xf>
    <xf numFmtId="4" fontId="5" fillId="59" borderId="127" applyNumberFormat="0" applyProtection="0">
      <alignment horizontal="right" vertical="center"/>
    </xf>
    <xf numFmtId="0" fontId="5" fillId="44" borderId="128" applyNumberFormat="0" applyProtection="0">
      <alignment horizontal="left" vertical="top" indent="1"/>
    </xf>
    <xf numFmtId="0" fontId="5" fillId="60" borderId="128" applyNumberFormat="0" applyProtection="0">
      <alignment horizontal="left" vertical="top" indent="1"/>
    </xf>
    <xf numFmtId="4" fontId="38" fillId="20" borderId="131" applyNumberFormat="0" applyProtection="0">
      <alignment horizontal="right" vertical="center"/>
    </xf>
    <xf numFmtId="0" fontId="2" fillId="0" borderId="134">
      <alignment horizontal="left" vertical="center"/>
    </xf>
    <xf numFmtId="4" fontId="5" fillId="0" borderId="127" applyNumberFormat="0" applyProtection="0">
      <alignment horizontal="right" vertical="center"/>
    </xf>
    <xf numFmtId="4" fontId="111" fillId="15" borderId="127" applyNumberFormat="0" applyProtection="0">
      <alignment horizontal="right" vertical="center"/>
    </xf>
    <xf numFmtId="0" fontId="5" fillId="61" borderId="127" applyNumberFormat="0" applyProtection="0">
      <alignment horizontal="left" vertical="center" indent="1"/>
    </xf>
    <xf numFmtId="0" fontId="5" fillId="44" borderId="127" applyNumberFormat="0" applyProtection="0">
      <alignment horizontal="left" vertical="center" indent="1"/>
    </xf>
    <xf numFmtId="0" fontId="5" fillId="62" borderId="127" applyNumberFormat="0" applyProtection="0">
      <alignment horizontal="left" vertical="center" indent="1"/>
    </xf>
    <xf numFmtId="4" fontId="112" fillId="63" borderId="127" applyNumberFormat="0" applyProtection="0">
      <alignment horizontal="right" vertical="center"/>
    </xf>
    <xf numFmtId="4" fontId="5" fillId="50" borderId="127" applyNumberFormat="0" applyProtection="0">
      <alignment horizontal="left" vertical="center" indent="1"/>
    </xf>
    <xf numFmtId="4" fontId="5" fillId="0" borderId="127" applyNumberFormat="0" applyProtection="0">
      <alignment horizontal="right" vertical="center"/>
    </xf>
    <xf numFmtId="0" fontId="5" fillId="34" borderId="127" applyNumberFormat="0" applyProtection="0">
      <alignment horizontal="left" vertical="center" indent="1"/>
    </xf>
    <xf numFmtId="0" fontId="5" fillId="59" borderId="128" applyNumberFormat="0" applyProtection="0">
      <alignment horizontal="left" vertical="top" indent="1"/>
    </xf>
    <xf numFmtId="4" fontId="38" fillId="30" borderId="126" applyNumberFormat="0" applyProtection="0">
      <alignment horizontal="left" vertical="center" indent="1"/>
    </xf>
    <xf numFmtId="4" fontId="112" fillId="63" borderId="127" applyNumberFormat="0" applyProtection="0">
      <alignment horizontal="right" vertical="center"/>
    </xf>
    <xf numFmtId="0" fontId="5" fillId="62" borderId="127" applyNumberFormat="0" applyProtection="0">
      <alignment horizontal="left" vertical="center" indent="1"/>
    </xf>
    <xf numFmtId="0" fontId="5" fillId="44" borderId="127" applyNumberFormat="0" applyProtection="0">
      <alignment horizontal="left" vertical="center" indent="1"/>
    </xf>
    <xf numFmtId="0" fontId="5" fillId="61" borderId="127" applyNumberFormat="0" applyProtection="0">
      <alignment horizontal="left" vertical="center" indent="1"/>
    </xf>
    <xf numFmtId="4" fontId="5" fillId="59" borderId="127" applyNumberFormat="0" applyProtection="0">
      <alignment horizontal="right" vertical="center"/>
    </xf>
    <xf numFmtId="0" fontId="94" fillId="58" borderId="130" applyNumberFormat="0" applyFont="0" applyAlignment="0" applyProtection="0"/>
    <xf numFmtId="0" fontId="5" fillId="44" borderId="128" applyNumberFormat="0" applyProtection="0">
      <alignment horizontal="left" vertical="top" indent="1"/>
    </xf>
    <xf numFmtId="0" fontId="5" fillId="60" borderId="128" applyNumberFormat="0" applyProtection="0">
      <alignment horizontal="left" vertical="top" indent="1"/>
    </xf>
    <xf numFmtId="4" fontId="38" fillId="28" borderId="131" applyNumberFormat="0" applyProtection="0">
      <alignment horizontal="right" vertical="center"/>
    </xf>
    <xf numFmtId="0" fontId="94" fillId="58" borderId="130" applyNumberFormat="0" applyFont="0" applyAlignment="0" applyProtection="0"/>
    <xf numFmtId="4" fontId="38" fillId="27" borderId="131" applyNumberFormat="0" applyProtection="0">
      <alignment horizontal="right" vertical="center"/>
    </xf>
    <xf numFmtId="4" fontId="38" fillId="24" borderId="131" applyNumberFormat="0" applyProtection="0">
      <alignment horizontal="right" vertical="center"/>
    </xf>
    <xf numFmtId="4" fontId="65" fillId="29" borderId="131" applyNumberFormat="0" applyProtection="0">
      <alignment horizontal="left" vertical="center" indent="1"/>
    </xf>
    <xf numFmtId="4" fontId="5" fillId="0" borderId="127" applyNumberFormat="0" applyProtection="0">
      <alignment horizontal="right" vertical="center"/>
    </xf>
    <xf numFmtId="4" fontId="111" fillId="15" borderId="127" applyNumberFormat="0" applyProtection="0">
      <alignment horizontal="right" vertical="center"/>
    </xf>
    <xf numFmtId="4" fontId="5" fillId="50" borderId="127" applyNumberFormat="0" applyProtection="0">
      <alignment horizontal="left" vertical="center" indent="1"/>
    </xf>
    <xf numFmtId="0" fontId="5" fillId="60" borderId="128" applyNumberFormat="0" applyProtection="0">
      <alignment horizontal="left" vertical="top" indent="1"/>
    </xf>
    <xf numFmtId="0" fontId="5" fillId="59" borderId="128" applyNumberFormat="0" applyProtection="0">
      <alignment horizontal="left" vertical="top" indent="1"/>
    </xf>
    <xf numFmtId="0" fontId="5" fillId="44" borderId="128" applyNumberFormat="0" applyProtection="0">
      <alignment horizontal="left" vertical="top" indent="1"/>
    </xf>
    <xf numFmtId="0" fontId="5" fillId="34" borderId="127" applyNumberFormat="0" applyProtection="0">
      <alignment horizontal="left" vertical="center" indent="1"/>
    </xf>
    <xf numFmtId="4" fontId="5" fillId="59" borderId="127" applyNumberFormat="0" applyProtection="0">
      <alignment horizontal="right" vertical="center"/>
    </xf>
    <xf numFmtId="4" fontId="5" fillId="0" borderId="127" applyNumberFormat="0" applyProtection="0">
      <alignment horizontal="right" vertical="center"/>
    </xf>
    <xf numFmtId="4" fontId="111" fillId="15" borderId="127" applyNumberFormat="0" applyProtection="0">
      <alignment horizontal="right" vertical="center"/>
    </xf>
    <xf numFmtId="0" fontId="5" fillId="61" borderId="127" applyNumberFormat="0" applyProtection="0">
      <alignment horizontal="left" vertical="center" indent="1"/>
    </xf>
    <xf numFmtId="0" fontId="5" fillId="44" borderId="127" applyNumberFormat="0" applyProtection="0">
      <alignment horizontal="left" vertical="center" indent="1"/>
    </xf>
    <xf numFmtId="0" fontId="5" fillId="62" borderId="127" applyNumberFormat="0" applyProtection="0">
      <alignment horizontal="left" vertical="center" indent="1"/>
    </xf>
    <xf numFmtId="4" fontId="112" fillId="63" borderId="127" applyNumberFormat="0" applyProtection="0">
      <alignment horizontal="right" vertical="center"/>
    </xf>
    <xf numFmtId="4" fontId="5" fillId="50" borderId="127" applyNumberFormat="0" applyProtection="0">
      <alignment horizontal="left" vertical="center" indent="1"/>
    </xf>
    <xf numFmtId="4" fontId="5" fillId="0" borderId="127" applyNumberFormat="0" applyProtection="0">
      <alignment horizontal="right" vertical="center"/>
    </xf>
    <xf numFmtId="0" fontId="5" fillId="34" borderId="127" applyNumberFormat="0" applyProtection="0">
      <alignment horizontal="left" vertical="center" indent="1"/>
    </xf>
    <xf numFmtId="0" fontId="5" fillId="59" borderId="128" applyNumberFormat="0" applyProtection="0">
      <alignment horizontal="left" vertical="top" indent="1"/>
    </xf>
    <xf numFmtId="4" fontId="112" fillId="63" borderId="127" applyNumberFormat="0" applyProtection="0">
      <alignment horizontal="right" vertical="center"/>
    </xf>
    <xf numFmtId="0" fontId="5" fillId="62" borderId="127" applyNumberFormat="0" applyProtection="0">
      <alignment horizontal="left" vertical="center" indent="1"/>
    </xf>
    <xf numFmtId="0" fontId="5" fillId="44" borderId="127" applyNumberFormat="0" applyProtection="0">
      <alignment horizontal="left" vertical="center" indent="1"/>
    </xf>
    <xf numFmtId="0" fontId="5" fillId="61" borderId="127" applyNumberFormat="0" applyProtection="0">
      <alignment horizontal="left" vertical="center" indent="1"/>
    </xf>
    <xf numFmtId="4" fontId="5" fillId="59" borderId="127" applyNumberFormat="0" applyProtection="0">
      <alignment horizontal="right" vertical="center"/>
    </xf>
    <xf numFmtId="0" fontId="94" fillId="58" borderId="130" applyNumberFormat="0" applyFont="0" applyAlignment="0" applyProtection="0"/>
    <xf numFmtId="0" fontId="5" fillId="44" borderId="128" applyNumberFormat="0" applyProtection="0">
      <alignment horizontal="left" vertical="top" indent="1"/>
    </xf>
    <xf numFmtId="0" fontId="5" fillId="60" borderId="128" applyNumberFormat="0" applyProtection="0">
      <alignment horizontal="left" vertical="top" indent="1"/>
    </xf>
    <xf numFmtId="0" fontId="94" fillId="58" borderId="130" applyNumberFormat="0" applyFont="0" applyAlignment="0" applyProtection="0"/>
    <xf numFmtId="0" fontId="1" fillId="58" borderId="130" applyNumberFormat="0" applyFont="0" applyAlignment="0" applyProtection="0"/>
    <xf numFmtId="0" fontId="107" fillId="34" borderId="131" applyNumberFormat="0" applyAlignment="0" applyProtection="0"/>
    <xf numFmtId="187" fontId="50" fillId="0" borderId="47"/>
    <xf numFmtId="0" fontId="109" fillId="0" borderId="132" applyNumberFormat="0" applyFill="0" applyAlignment="0" applyProtection="0"/>
    <xf numFmtId="4" fontId="5" fillId="0" borderId="127" applyNumberFormat="0" applyProtection="0">
      <alignment horizontal="right" vertical="center"/>
    </xf>
    <xf numFmtId="4" fontId="111" fillId="15" borderId="127" applyNumberFormat="0" applyProtection="0">
      <alignment horizontal="right" vertical="center"/>
    </xf>
    <xf numFmtId="4" fontId="5" fillId="50" borderId="127" applyNumberFormat="0" applyProtection="0">
      <alignment horizontal="left" vertical="center" indent="1"/>
    </xf>
    <xf numFmtId="0" fontId="5" fillId="60" borderId="128" applyNumberFormat="0" applyProtection="0">
      <alignment horizontal="left" vertical="top" indent="1"/>
    </xf>
    <xf numFmtId="0" fontId="5" fillId="59" borderId="128" applyNumberFormat="0" applyProtection="0">
      <alignment horizontal="left" vertical="top" indent="1"/>
    </xf>
    <xf numFmtId="0" fontId="5" fillId="44" borderId="128" applyNumberFormat="0" applyProtection="0">
      <alignment horizontal="left" vertical="top" indent="1"/>
    </xf>
    <xf numFmtId="0" fontId="5" fillId="34" borderId="127" applyNumberFormat="0" applyProtection="0">
      <alignment horizontal="left" vertical="center" indent="1"/>
    </xf>
    <xf numFmtId="4" fontId="5" fillId="59" borderId="127" applyNumberFormat="0" applyProtection="0">
      <alignment horizontal="right" vertical="center"/>
    </xf>
    <xf numFmtId="4" fontId="5" fillId="0" borderId="127" applyNumberFormat="0" applyProtection="0">
      <alignment horizontal="right" vertical="center"/>
    </xf>
    <xf numFmtId="4" fontId="111" fillId="15" borderId="127" applyNumberFormat="0" applyProtection="0">
      <alignment horizontal="right" vertical="center"/>
    </xf>
    <xf numFmtId="0" fontId="5" fillId="61" borderId="127" applyNumberFormat="0" applyProtection="0">
      <alignment horizontal="left" vertical="center" indent="1"/>
    </xf>
    <xf numFmtId="0" fontId="5" fillId="44" borderId="127" applyNumberFormat="0" applyProtection="0">
      <alignment horizontal="left" vertical="center" indent="1"/>
    </xf>
    <xf numFmtId="0" fontId="5" fillId="62" borderId="127" applyNumberFormat="0" applyProtection="0">
      <alignment horizontal="left" vertical="center" indent="1"/>
    </xf>
    <xf numFmtId="4" fontId="112" fillId="63" borderId="127" applyNumberFormat="0" applyProtection="0">
      <alignment horizontal="right" vertical="center"/>
    </xf>
    <xf numFmtId="4" fontId="5" fillId="50" borderId="127" applyNumberFormat="0" applyProtection="0">
      <alignment horizontal="left" vertical="center" indent="1"/>
    </xf>
    <xf numFmtId="4" fontId="5" fillId="0" borderId="127" applyNumberFormat="0" applyProtection="0">
      <alignment horizontal="right" vertical="center"/>
    </xf>
    <xf numFmtId="0" fontId="5" fillId="34" borderId="127" applyNumberFormat="0" applyProtection="0">
      <alignment horizontal="left" vertical="center" indent="1"/>
    </xf>
    <xf numFmtId="0" fontId="5" fillId="59" borderId="128" applyNumberFormat="0" applyProtection="0">
      <alignment horizontal="left" vertical="top" indent="1"/>
    </xf>
    <xf numFmtId="4" fontId="112" fillId="63" borderId="127" applyNumberFormat="0" applyProtection="0">
      <alignment horizontal="right" vertical="center"/>
    </xf>
    <xf numFmtId="0" fontId="5" fillId="62" borderId="127" applyNumberFormat="0" applyProtection="0">
      <alignment horizontal="left" vertical="center" indent="1"/>
    </xf>
    <xf numFmtId="0" fontId="5" fillId="44" borderId="127" applyNumberFormat="0" applyProtection="0">
      <alignment horizontal="left" vertical="center" indent="1"/>
    </xf>
    <xf numFmtId="0" fontId="5" fillId="61" borderId="127" applyNumberFormat="0" applyProtection="0">
      <alignment horizontal="left" vertical="center" indent="1"/>
    </xf>
    <xf numFmtId="0" fontId="1" fillId="19" borderId="131" applyNumberFormat="0" applyProtection="0">
      <alignment horizontal="left" vertical="center" indent="1"/>
    </xf>
    <xf numFmtId="4" fontId="5" fillId="59" borderId="127" applyNumberFormat="0" applyProtection="0">
      <alignment horizontal="right" vertical="center"/>
    </xf>
    <xf numFmtId="0" fontId="94" fillId="58" borderId="130" applyNumberFormat="0" applyFont="0" applyAlignment="0" applyProtection="0"/>
    <xf numFmtId="0" fontId="5" fillId="44" borderId="128" applyNumberFormat="0" applyProtection="0">
      <alignment horizontal="left" vertical="top" indent="1"/>
    </xf>
    <xf numFmtId="0" fontId="5" fillId="60" borderId="128" applyNumberFormat="0" applyProtection="0">
      <alignment horizontal="left" vertical="top" indent="1"/>
    </xf>
    <xf numFmtId="0" fontId="1" fillId="19" borderId="131" applyNumberFormat="0" applyProtection="0">
      <alignment horizontal="left" vertical="center" indent="1"/>
    </xf>
    <xf numFmtId="0" fontId="94" fillId="58" borderId="130" applyNumberFormat="0" applyFont="0" applyAlignment="0" applyProtection="0"/>
    <xf numFmtId="4" fontId="38" fillId="18" borderId="131" applyNumberFormat="0" applyProtection="0">
      <alignment horizontal="left" vertical="center" indent="1"/>
    </xf>
    <xf numFmtId="4" fontId="38" fillId="3" borderId="131" applyNumberFormat="0" applyProtection="0">
      <alignment horizontal="left" vertical="center" indent="1"/>
    </xf>
    <xf numFmtId="0" fontId="1" fillId="33" borderId="131" applyNumberFormat="0" applyProtection="0">
      <alignment horizontal="left" vertical="center" indent="1"/>
    </xf>
    <xf numFmtId="4" fontId="68" fillId="30" borderId="131" applyNumberFormat="0" applyProtection="0">
      <alignment horizontal="right" vertical="center"/>
    </xf>
    <xf numFmtId="0" fontId="1" fillId="19" borderId="131" applyNumberFormat="0" applyProtection="0">
      <alignment horizontal="left" vertical="center" indent="1"/>
    </xf>
    <xf numFmtId="0" fontId="1" fillId="19" borderId="131" applyNumberFormat="0" applyProtection="0">
      <alignment horizontal="left" vertical="center" indent="1"/>
    </xf>
    <xf numFmtId="4" fontId="64" fillId="30" borderId="131" applyNumberFormat="0" applyProtection="0">
      <alignment horizontal="right" vertical="center"/>
    </xf>
    <xf numFmtId="4" fontId="38" fillId="30" borderId="131" applyNumberFormat="0" applyProtection="0">
      <alignment horizontal="right" vertical="center"/>
    </xf>
    <xf numFmtId="4" fontId="38" fillId="3" borderId="131" applyNumberFormat="0" applyProtection="0">
      <alignment horizontal="left" vertical="center" indent="1"/>
    </xf>
    <xf numFmtId="4" fontId="64" fillId="3" borderId="131" applyNumberFormat="0" applyProtection="0">
      <alignment vertical="center"/>
    </xf>
    <xf numFmtId="4" fontId="38" fillId="3" borderId="131" applyNumberFormat="0" applyProtection="0">
      <alignment vertical="center"/>
    </xf>
    <xf numFmtId="0" fontId="1" fillId="19" borderId="131" applyNumberFormat="0" applyProtection="0">
      <alignment horizontal="left" vertical="center" indent="1"/>
    </xf>
    <xf numFmtId="0" fontId="1" fillId="19" borderId="131" applyNumberFormat="0" applyProtection="0">
      <alignment horizontal="left" vertical="center" indent="1"/>
    </xf>
    <xf numFmtId="0" fontId="1" fillId="2" borderId="131" applyNumberFormat="0" applyProtection="0">
      <alignment horizontal="left" vertical="center" indent="1"/>
    </xf>
    <xf numFmtId="0" fontId="1" fillId="2" borderId="131" applyNumberFormat="0" applyProtection="0">
      <alignment horizontal="left" vertical="center" indent="1"/>
    </xf>
    <xf numFmtId="0" fontId="1" fillId="33" borderId="131" applyNumberFormat="0" applyProtection="0">
      <alignment horizontal="left" vertical="center" indent="1"/>
    </xf>
    <xf numFmtId="0" fontId="1" fillId="33" borderId="131" applyNumberFormat="0" applyProtection="0">
      <alignment horizontal="left" vertical="center" indent="1"/>
    </xf>
    <xf numFmtId="0" fontId="1" fillId="32" borderId="131" applyNumberFormat="0" applyProtection="0">
      <alignment horizontal="left" vertical="center" indent="1"/>
    </xf>
    <xf numFmtId="0" fontId="1" fillId="32" borderId="131" applyNumberFormat="0" applyProtection="0">
      <alignment horizontal="left" vertical="center" indent="1"/>
    </xf>
    <xf numFmtId="4" fontId="38" fillId="32" borderId="131" applyNumberFormat="0" applyProtection="0">
      <alignment horizontal="left" vertical="center" indent="1"/>
    </xf>
    <xf numFmtId="4" fontId="38" fillId="30" borderId="131" applyNumberFormat="0" applyProtection="0">
      <alignment horizontal="left" vertical="center" indent="1"/>
    </xf>
    <xf numFmtId="0" fontId="1" fillId="19" borderId="131" applyNumberFormat="0" applyProtection="0">
      <alignment horizontal="left" vertical="center" indent="1"/>
    </xf>
    <xf numFmtId="4" fontId="38" fillId="30" borderId="126" applyNumberFormat="0" applyProtection="0">
      <alignment horizontal="left" vertical="center" indent="1"/>
    </xf>
    <xf numFmtId="4" fontId="65" fillId="29" borderId="131" applyNumberFormat="0" applyProtection="0">
      <alignment horizontal="left" vertical="center" indent="1"/>
    </xf>
    <xf numFmtId="4" fontId="38" fillId="23" borderId="131" applyNumberFormat="0" applyProtection="0">
      <alignment horizontal="right" vertical="center"/>
    </xf>
    <xf numFmtId="0" fontId="1" fillId="19" borderId="131" applyNumberFormat="0" applyProtection="0">
      <alignment horizontal="left" vertical="center" indent="1"/>
    </xf>
    <xf numFmtId="4" fontId="38" fillId="18" borderId="131" applyNumberFormat="0" applyProtection="0">
      <alignment horizontal="left" vertical="center" indent="1"/>
    </xf>
    <xf numFmtId="4" fontId="38" fillId="18" borderId="131" applyNumberFormat="0" applyProtection="0">
      <alignment horizontal="left" vertical="center" indent="1"/>
    </xf>
    <xf numFmtId="4" fontId="64" fillId="18" borderId="131" applyNumberFormat="0" applyProtection="0">
      <alignment vertical="center"/>
    </xf>
    <xf numFmtId="4" fontId="38" fillId="18" borderId="131" applyNumberFormat="0" applyProtection="0">
      <alignment vertical="center"/>
    </xf>
    <xf numFmtId="0" fontId="109" fillId="0" borderId="132" applyNumberFormat="0" applyFill="0" applyAlignment="0" applyProtection="0"/>
    <xf numFmtId="0" fontId="107" fillId="34" borderId="131" applyNumberFormat="0" applyAlignment="0" applyProtection="0"/>
    <xf numFmtId="4" fontId="38" fillId="28" borderId="131" applyNumberFormat="0" applyProtection="0">
      <alignment horizontal="right" vertical="center"/>
    </xf>
    <xf numFmtId="0" fontId="97" fillId="34" borderId="122" applyNumberFormat="0" applyAlignment="0" applyProtection="0"/>
    <xf numFmtId="0" fontId="1" fillId="32" borderId="131" applyNumberFormat="0" applyProtection="0">
      <alignment horizontal="left" vertical="center" indent="1"/>
    </xf>
    <xf numFmtId="4" fontId="38" fillId="24" borderId="131" applyNumberFormat="0" applyProtection="0">
      <alignment horizontal="right" vertical="center"/>
    </xf>
    <xf numFmtId="0" fontId="104" fillId="43" borderId="122" applyNumberFormat="0" applyAlignment="0" applyProtection="0"/>
    <xf numFmtId="4" fontId="38" fillId="26" borderId="131" applyNumberFormat="0" applyProtection="0">
      <alignment horizontal="right" vertical="center"/>
    </xf>
    <xf numFmtId="4" fontId="38" fillId="26" borderId="131" applyNumberFormat="0" applyProtection="0">
      <alignment horizontal="right" vertical="center"/>
    </xf>
    <xf numFmtId="0" fontId="1" fillId="58" borderId="130" applyNumberFormat="0" applyFont="0" applyAlignment="0" applyProtection="0"/>
    <xf numFmtId="4" fontId="38" fillId="27" borderId="131" applyNumberFormat="0" applyProtection="0">
      <alignment horizontal="right" vertical="center"/>
    </xf>
    <xf numFmtId="4" fontId="38" fillId="25" borderId="131" applyNumberFormat="0" applyProtection="0">
      <alignment horizontal="right" vertical="center"/>
    </xf>
    <xf numFmtId="4" fontId="38" fillId="22" borderId="131" applyNumberFormat="0" applyProtection="0">
      <alignment horizontal="right" vertical="center"/>
    </xf>
    <xf numFmtId="0" fontId="1" fillId="19" borderId="131" applyNumberFormat="0" applyProtection="0">
      <alignment horizontal="left" vertical="center" indent="1"/>
    </xf>
    <xf numFmtId="0" fontId="1" fillId="58" borderId="130" applyNumberFormat="0" applyFont="0" applyAlignment="0" applyProtection="0"/>
    <xf numFmtId="5" fontId="55" fillId="0" borderId="120">
      <alignment horizontal="left" vertical="top"/>
    </xf>
    <xf numFmtId="0" fontId="1" fillId="19" borderId="131" applyNumberFormat="0" applyProtection="0">
      <alignment horizontal="left" vertical="center" indent="1"/>
    </xf>
    <xf numFmtId="4" fontId="38" fillId="32" borderId="131" applyNumberFormat="0" applyProtection="0">
      <alignment horizontal="left" vertical="center" indent="1"/>
    </xf>
    <xf numFmtId="0" fontId="1" fillId="32" borderId="131" applyNumberFormat="0" applyProtection="0">
      <alignment horizontal="left" vertical="center" indent="1"/>
    </xf>
    <xf numFmtId="0" fontId="1" fillId="2" borderId="131" applyNumberFormat="0" applyProtection="0">
      <alignment horizontal="left" vertical="center" indent="1"/>
    </xf>
    <xf numFmtId="4" fontId="38" fillId="3" borderId="131" applyNumberFormat="0" applyProtection="0">
      <alignment horizontal="left" vertical="center" indent="1"/>
    </xf>
    <xf numFmtId="0" fontId="107" fillId="34" borderId="131" applyNumberFormat="0" applyAlignment="0" applyProtection="0"/>
    <xf numFmtId="0" fontId="109" fillId="0" borderId="132" applyNumberFormat="0" applyFill="0" applyAlignment="0" applyProtection="0"/>
    <xf numFmtId="4" fontId="5" fillId="59" borderId="127" applyNumberFormat="0" applyProtection="0">
      <alignment horizontal="right" vertical="center"/>
    </xf>
    <xf numFmtId="0" fontId="5" fillId="34" borderId="127" applyNumberFormat="0" applyProtection="0">
      <alignment horizontal="left" vertical="center" indent="1"/>
    </xf>
    <xf numFmtId="0" fontId="5" fillId="44" borderId="128" applyNumberFormat="0" applyProtection="0">
      <alignment horizontal="left" vertical="top" indent="1"/>
    </xf>
    <xf numFmtId="0" fontId="5" fillId="59" borderId="128" applyNumberFormat="0" applyProtection="0">
      <alignment horizontal="left" vertical="top" indent="1"/>
    </xf>
    <xf numFmtId="0" fontId="5" fillId="60" borderId="128" applyNumberFormat="0" applyProtection="0">
      <alignment horizontal="left" vertical="top" indent="1"/>
    </xf>
    <xf numFmtId="4" fontId="5" fillId="50" borderId="127" applyNumberFormat="0" applyProtection="0">
      <alignment horizontal="left" vertical="center" indent="1"/>
    </xf>
    <xf numFmtId="4" fontId="111" fillId="15" borderId="127" applyNumberFormat="0" applyProtection="0">
      <alignment horizontal="right" vertical="center"/>
    </xf>
    <xf numFmtId="4" fontId="5" fillId="0" borderId="127" applyNumberFormat="0" applyProtection="0">
      <alignment horizontal="right" vertical="center"/>
    </xf>
    <xf numFmtId="4" fontId="38" fillId="25" borderId="131" applyNumberFormat="0" applyProtection="0">
      <alignment horizontal="right" vertical="center"/>
    </xf>
    <xf numFmtId="6" fontId="79" fillId="36" borderId="120"/>
    <xf numFmtId="5" fontId="77" fillId="30" borderId="120">
      <alignment vertical="top"/>
    </xf>
    <xf numFmtId="0" fontId="1" fillId="33" borderId="131" applyNumberFormat="0" applyProtection="0">
      <alignment horizontal="left" vertical="center" indent="1"/>
    </xf>
    <xf numFmtId="0" fontId="1" fillId="2" borderId="131" applyNumberFormat="0" applyProtection="0">
      <alignment horizontal="left" vertical="center" indent="1"/>
    </xf>
    <xf numFmtId="0" fontId="1" fillId="19" borderId="131" applyNumberFormat="0" applyProtection="0">
      <alignment horizontal="left" vertical="center" indent="1"/>
    </xf>
    <xf numFmtId="0" fontId="1" fillId="19" borderId="131" applyNumberFormat="0" applyProtection="0">
      <alignment horizontal="left" vertical="center" indent="1"/>
    </xf>
    <xf numFmtId="4" fontId="38" fillId="3" borderId="131" applyNumberFormat="0" applyProtection="0">
      <alignment vertical="center"/>
    </xf>
    <xf numFmtId="4" fontId="64" fillId="3" borderId="131" applyNumberFormat="0" applyProtection="0">
      <alignment vertical="center"/>
    </xf>
    <xf numFmtId="4" fontId="38" fillId="3" borderId="131" applyNumberFormat="0" applyProtection="0">
      <alignment horizontal="left" vertical="center" indent="1"/>
    </xf>
    <xf numFmtId="4" fontId="38" fillId="30" borderId="131" applyNumberFormat="0" applyProtection="0">
      <alignment horizontal="right" vertical="center"/>
    </xf>
    <xf numFmtId="4" fontId="64" fillId="30" borderId="131" applyNumberFormat="0" applyProtection="0">
      <alignment horizontal="right" vertical="center"/>
    </xf>
    <xf numFmtId="0" fontId="1" fillId="19" borderId="131" applyNumberFormat="0" applyProtection="0">
      <alignment horizontal="left" vertical="center" indent="1"/>
    </xf>
    <xf numFmtId="4" fontId="68" fillId="30" borderId="131" applyNumberFormat="0" applyProtection="0">
      <alignment horizontal="right" vertical="center"/>
    </xf>
    <xf numFmtId="0" fontId="1" fillId="2" borderId="131" applyNumberFormat="0" applyProtection="0">
      <alignment horizontal="left" vertical="center" indent="1"/>
    </xf>
    <xf numFmtId="4" fontId="38" fillId="18" borderId="131" applyNumberFormat="0" applyProtection="0">
      <alignment horizontal="left" vertical="center" indent="1"/>
    </xf>
    <xf numFmtId="0" fontId="1" fillId="19" borderId="131" applyNumberFormat="0" applyProtection="0">
      <alignment horizontal="left" vertical="center" indent="1"/>
    </xf>
    <xf numFmtId="4" fontId="38" fillId="20" borderId="131" applyNumberFormat="0" applyProtection="0">
      <alignment horizontal="right" vertical="center"/>
    </xf>
    <xf numFmtId="4" fontId="38" fillId="21" borderId="131" applyNumberFormat="0" applyProtection="0">
      <alignment horizontal="right" vertical="center"/>
    </xf>
    <xf numFmtId="4" fontId="38" fillId="22" borderId="131" applyNumberFormat="0" applyProtection="0">
      <alignment horizontal="right" vertical="center"/>
    </xf>
    <xf numFmtId="0" fontId="2" fillId="0" borderId="129">
      <alignment horizontal="left" vertical="center"/>
    </xf>
    <xf numFmtId="4" fontId="38" fillId="23" borderId="131" applyNumberFormat="0" applyProtection="0">
      <alignment horizontal="right" vertical="center"/>
    </xf>
    <xf numFmtId="4" fontId="38" fillId="30" borderId="131" applyNumberFormat="0" applyProtection="0">
      <alignment horizontal="left" vertical="center" indent="1"/>
    </xf>
    <xf numFmtId="4" fontId="38" fillId="18" borderId="131" applyNumberFormat="0" applyProtection="0">
      <alignment vertical="center"/>
    </xf>
    <xf numFmtId="4" fontId="64" fillId="18" borderId="131" applyNumberFormat="0" applyProtection="0">
      <alignment vertical="center"/>
    </xf>
    <xf numFmtId="4" fontId="38" fillId="18" borderId="131" applyNumberFormat="0" applyProtection="0">
      <alignment horizontal="left" vertical="center" indent="1"/>
    </xf>
    <xf numFmtId="4" fontId="5" fillId="0" borderId="127" applyNumberFormat="0" applyProtection="0">
      <alignment horizontal="right" vertical="center"/>
    </xf>
    <xf numFmtId="4" fontId="111" fillId="15" borderId="127" applyNumberFormat="0" applyProtection="0">
      <alignment horizontal="right" vertical="center"/>
    </xf>
    <xf numFmtId="4" fontId="5" fillId="50" borderId="127" applyNumberFormat="0" applyProtection="0">
      <alignment horizontal="left" vertical="center" indent="1"/>
    </xf>
    <xf numFmtId="0" fontId="5" fillId="60" borderId="128" applyNumberFormat="0" applyProtection="0">
      <alignment horizontal="left" vertical="top" indent="1"/>
    </xf>
    <xf numFmtId="0" fontId="5" fillId="59" borderId="128" applyNumberFormat="0" applyProtection="0">
      <alignment horizontal="left" vertical="top" indent="1"/>
    </xf>
    <xf numFmtId="0" fontId="5" fillId="44" borderId="128" applyNumberFormat="0" applyProtection="0">
      <alignment horizontal="left" vertical="top" indent="1"/>
    </xf>
    <xf numFmtId="0" fontId="5" fillId="34" borderId="127" applyNumberFormat="0" applyProtection="0">
      <alignment horizontal="left" vertical="center" indent="1"/>
    </xf>
    <xf numFmtId="4" fontId="5" fillId="59" borderId="127" applyNumberFormat="0" applyProtection="0">
      <alignment horizontal="right" vertical="center"/>
    </xf>
    <xf numFmtId="4" fontId="5" fillId="0" borderId="127" applyNumberFormat="0" applyProtection="0">
      <alignment horizontal="right" vertical="center"/>
    </xf>
    <xf numFmtId="4" fontId="111" fillId="15" borderId="127" applyNumberFormat="0" applyProtection="0">
      <alignment horizontal="right" vertical="center"/>
    </xf>
    <xf numFmtId="0" fontId="5" fillId="61" borderId="127" applyNumberFormat="0" applyProtection="0">
      <alignment horizontal="left" vertical="center" indent="1"/>
    </xf>
    <xf numFmtId="0" fontId="5" fillId="44" borderId="127" applyNumberFormat="0" applyProtection="0">
      <alignment horizontal="left" vertical="center" indent="1"/>
    </xf>
    <xf numFmtId="0" fontId="5" fillId="62" borderId="127" applyNumberFormat="0" applyProtection="0">
      <alignment horizontal="left" vertical="center" indent="1"/>
    </xf>
    <xf numFmtId="4" fontId="112" fillId="63" borderId="127" applyNumberFormat="0" applyProtection="0">
      <alignment horizontal="right" vertical="center"/>
    </xf>
    <xf numFmtId="4" fontId="5" fillId="50" borderId="127" applyNumberFormat="0" applyProtection="0">
      <alignment horizontal="left" vertical="center" indent="1"/>
    </xf>
    <xf numFmtId="4" fontId="5" fillId="0" borderId="127" applyNumberFormat="0" applyProtection="0">
      <alignment horizontal="right" vertical="center"/>
    </xf>
    <xf numFmtId="0" fontId="5" fillId="34" borderId="127" applyNumberFormat="0" applyProtection="0">
      <alignment horizontal="left" vertical="center" indent="1"/>
    </xf>
    <xf numFmtId="0" fontId="5" fillId="59" borderId="128" applyNumberFormat="0" applyProtection="0">
      <alignment horizontal="left" vertical="top" indent="1"/>
    </xf>
    <xf numFmtId="4" fontId="38" fillId="21" borderId="131" applyNumberFormat="0" applyProtection="0">
      <alignment horizontal="right" vertical="center"/>
    </xf>
    <xf numFmtId="4" fontId="112" fillId="63" borderId="127" applyNumberFormat="0" applyProtection="0">
      <alignment horizontal="right" vertical="center"/>
    </xf>
    <xf numFmtId="0" fontId="5" fillId="62" borderId="127" applyNumberFormat="0" applyProtection="0">
      <alignment horizontal="left" vertical="center" indent="1"/>
    </xf>
    <xf numFmtId="0" fontId="5" fillId="44" borderId="127" applyNumberFormat="0" applyProtection="0">
      <alignment horizontal="left" vertical="center" indent="1"/>
    </xf>
    <xf numFmtId="0" fontId="5" fillId="61" borderId="127" applyNumberFormat="0" applyProtection="0">
      <alignment horizontal="left" vertical="center" indent="1"/>
    </xf>
    <xf numFmtId="4" fontId="5" fillId="59" borderId="127" applyNumberFormat="0" applyProtection="0">
      <alignment horizontal="right" vertical="center"/>
    </xf>
    <xf numFmtId="0" fontId="5" fillId="44" borderId="128" applyNumberFormat="0" applyProtection="0">
      <alignment horizontal="left" vertical="top" indent="1"/>
    </xf>
    <xf numFmtId="0" fontId="5" fillId="60" borderId="128" applyNumberFormat="0" applyProtection="0">
      <alignment horizontal="left" vertical="top" indent="1"/>
    </xf>
    <xf numFmtId="4" fontId="38" fillId="20" borderId="131" applyNumberFormat="0" applyProtection="0">
      <alignment horizontal="right" vertical="center"/>
    </xf>
    <xf numFmtId="0" fontId="2" fillId="0" borderId="129">
      <alignment horizontal="left" vertical="center"/>
    </xf>
    <xf numFmtId="4" fontId="5" fillId="0" borderId="127" applyNumberFormat="0" applyProtection="0">
      <alignment horizontal="right" vertical="center"/>
    </xf>
    <xf numFmtId="4" fontId="111" fillId="15" borderId="127" applyNumberFormat="0" applyProtection="0">
      <alignment horizontal="right" vertical="center"/>
    </xf>
    <xf numFmtId="0" fontId="5" fillId="61" borderId="127" applyNumberFormat="0" applyProtection="0">
      <alignment horizontal="left" vertical="center" indent="1"/>
    </xf>
    <xf numFmtId="0" fontId="5" fillId="44" borderId="127" applyNumberFormat="0" applyProtection="0">
      <alignment horizontal="left" vertical="center" indent="1"/>
    </xf>
    <xf numFmtId="0" fontId="5" fillId="62" borderId="127" applyNumberFormat="0" applyProtection="0">
      <alignment horizontal="left" vertical="center" indent="1"/>
    </xf>
    <xf numFmtId="4" fontId="112" fillId="63" borderId="127" applyNumberFormat="0" applyProtection="0">
      <alignment horizontal="right" vertical="center"/>
    </xf>
    <xf numFmtId="4" fontId="5" fillId="50" borderId="127" applyNumberFormat="0" applyProtection="0">
      <alignment horizontal="left" vertical="center" indent="1"/>
    </xf>
    <xf numFmtId="4" fontId="5" fillId="0" borderId="127" applyNumberFormat="0" applyProtection="0">
      <alignment horizontal="right" vertical="center"/>
    </xf>
    <xf numFmtId="0" fontId="5" fillId="34" borderId="127" applyNumberFormat="0" applyProtection="0">
      <alignment horizontal="left" vertical="center" indent="1"/>
    </xf>
    <xf numFmtId="0" fontId="5" fillId="59" borderId="128" applyNumberFormat="0" applyProtection="0">
      <alignment horizontal="left" vertical="top" indent="1"/>
    </xf>
    <xf numFmtId="4" fontId="38" fillId="30" borderId="126" applyNumberFormat="0" applyProtection="0">
      <alignment horizontal="left" vertical="center" indent="1"/>
    </xf>
    <xf numFmtId="4" fontId="112" fillId="63" borderId="127" applyNumberFormat="0" applyProtection="0">
      <alignment horizontal="right" vertical="center"/>
    </xf>
    <xf numFmtId="0" fontId="5" fillId="62" borderId="127" applyNumberFormat="0" applyProtection="0">
      <alignment horizontal="left" vertical="center" indent="1"/>
    </xf>
    <xf numFmtId="0" fontId="5" fillId="44" borderId="127" applyNumberFormat="0" applyProtection="0">
      <alignment horizontal="left" vertical="center" indent="1"/>
    </xf>
    <xf numFmtId="0" fontId="5" fillId="61" borderId="127" applyNumberFormat="0" applyProtection="0">
      <alignment horizontal="left" vertical="center" indent="1"/>
    </xf>
    <xf numFmtId="4" fontId="5" fillId="59" borderId="127" applyNumberFormat="0" applyProtection="0">
      <alignment horizontal="right" vertical="center"/>
    </xf>
    <xf numFmtId="0" fontId="94" fillId="58" borderId="130" applyNumberFormat="0" applyFont="0" applyAlignment="0" applyProtection="0"/>
    <xf numFmtId="0" fontId="5" fillId="44" borderId="128" applyNumberFormat="0" applyProtection="0">
      <alignment horizontal="left" vertical="top" indent="1"/>
    </xf>
    <xf numFmtId="0" fontId="5" fillId="60" borderId="128" applyNumberFormat="0" applyProtection="0">
      <alignment horizontal="left" vertical="top" indent="1"/>
    </xf>
    <xf numFmtId="4" fontId="38" fillId="28" borderId="131" applyNumberFormat="0" applyProtection="0">
      <alignment horizontal="right" vertical="center"/>
    </xf>
    <xf numFmtId="0" fontId="94" fillId="58" borderId="130" applyNumberFormat="0" applyFont="0" applyAlignment="0" applyProtection="0"/>
    <xf numFmtId="4" fontId="38" fillId="27" borderId="131" applyNumberFormat="0" applyProtection="0">
      <alignment horizontal="right" vertical="center"/>
    </xf>
    <xf numFmtId="4" fontId="38" fillId="24" borderId="131" applyNumberFormat="0" applyProtection="0">
      <alignment horizontal="right" vertical="center"/>
    </xf>
    <xf numFmtId="4" fontId="65" fillId="29" borderId="131" applyNumberFormat="0" applyProtection="0">
      <alignment horizontal="left" vertical="center" indent="1"/>
    </xf>
    <xf numFmtId="4" fontId="5" fillId="0" borderId="127" applyNumberFormat="0" applyProtection="0">
      <alignment horizontal="right" vertical="center"/>
    </xf>
    <xf numFmtId="4" fontId="111" fillId="15" borderId="127" applyNumberFormat="0" applyProtection="0">
      <alignment horizontal="right" vertical="center"/>
    </xf>
    <xf numFmtId="4" fontId="5" fillId="50" borderId="127" applyNumberFormat="0" applyProtection="0">
      <alignment horizontal="left" vertical="center" indent="1"/>
    </xf>
    <xf numFmtId="0" fontId="5" fillId="60" borderId="128" applyNumberFormat="0" applyProtection="0">
      <alignment horizontal="left" vertical="top" indent="1"/>
    </xf>
    <xf numFmtId="0" fontId="5" fillId="59" borderId="128" applyNumberFormat="0" applyProtection="0">
      <alignment horizontal="left" vertical="top" indent="1"/>
    </xf>
    <xf numFmtId="0" fontId="5" fillId="44" borderId="128" applyNumberFormat="0" applyProtection="0">
      <alignment horizontal="left" vertical="top" indent="1"/>
    </xf>
    <xf numFmtId="0" fontId="5" fillId="34" borderId="127" applyNumberFormat="0" applyProtection="0">
      <alignment horizontal="left" vertical="center" indent="1"/>
    </xf>
    <xf numFmtId="4" fontId="5" fillId="59" borderId="127" applyNumberFormat="0" applyProtection="0">
      <alignment horizontal="right" vertical="center"/>
    </xf>
    <xf numFmtId="4" fontId="5" fillId="0" borderId="127" applyNumberFormat="0" applyProtection="0">
      <alignment horizontal="right" vertical="center"/>
    </xf>
    <xf numFmtId="4" fontId="111" fillId="15" borderId="127" applyNumberFormat="0" applyProtection="0">
      <alignment horizontal="right" vertical="center"/>
    </xf>
    <xf numFmtId="0" fontId="5" fillId="61" borderId="127" applyNumberFormat="0" applyProtection="0">
      <alignment horizontal="left" vertical="center" indent="1"/>
    </xf>
    <xf numFmtId="0" fontId="5" fillId="44" borderId="127" applyNumberFormat="0" applyProtection="0">
      <alignment horizontal="left" vertical="center" indent="1"/>
    </xf>
    <xf numFmtId="0" fontId="5" fillId="62" borderId="127" applyNumberFormat="0" applyProtection="0">
      <alignment horizontal="left" vertical="center" indent="1"/>
    </xf>
    <xf numFmtId="4" fontId="112" fillId="63" borderId="127" applyNumberFormat="0" applyProtection="0">
      <alignment horizontal="right" vertical="center"/>
    </xf>
    <xf numFmtId="4" fontId="5" fillId="50" borderId="127" applyNumberFormat="0" applyProtection="0">
      <alignment horizontal="left" vertical="center" indent="1"/>
    </xf>
    <xf numFmtId="4" fontId="5" fillId="0" borderId="127" applyNumberFormat="0" applyProtection="0">
      <alignment horizontal="right" vertical="center"/>
    </xf>
    <xf numFmtId="0" fontId="5" fillId="34" borderId="127" applyNumberFormat="0" applyProtection="0">
      <alignment horizontal="left" vertical="center" indent="1"/>
    </xf>
    <xf numFmtId="0" fontId="5" fillId="59" borderId="128" applyNumberFormat="0" applyProtection="0">
      <alignment horizontal="left" vertical="top" indent="1"/>
    </xf>
    <xf numFmtId="4" fontId="112" fillId="63" borderId="127" applyNumberFormat="0" applyProtection="0">
      <alignment horizontal="right" vertical="center"/>
    </xf>
    <xf numFmtId="0" fontId="5" fillId="62" borderId="127" applyNumberFormat="0" applyProtection="0">
      <alignment horizontal="left" vertical="center" indent="1"/>
    </xf>
    <xf numFmtId="0" fontId="5" fillId="44" borderId="127" applyNumberFormat="0" applyProtection="0">
      <alignment horizontal="left" vertical="center" indent="1"/>
    </xf>
    <xf numFmtId="0" fontId="5" fillId="61" borderId="127" applyNumberFormat="0" applyProtection="0">
      <alignment horizontal="left" vertical="center" indent="1"/>
    </xf>
    <xf numFmtId="4" fontId="5" fillId="59" borderId="127" applyNumberFormat="0" applyProtection="0">
      <alignment horizontal="right" vertical="center"/>
    </xf>
    <xf numFmtId="0" fontId="94" fillId="58" borderId="130" applyNumberFormat="0" applyFont="0" applyAlignment="0" applyProtection="0"/>
    <xf numFmtId="0" fontId="5" fillId="44" borderId="128" applyNumberFormat="0" applyProtection="0">
      <alignment horizontal="left" vertical="top" indent="1"/>
    </xf>
    <xf numFmtId="0" fontId="5" fillId="60" borderId="128" applyNumberFormat="0" applyProtection="0">
      <alignment horizontal="left" vertical="top" indent="1"/>
    </xf>
    <xf numFmtId="0" fontId="94" fillId="58" borderId="130" applyNumberFormat="0" applyFont="0" applyAlignment="0" applyProtection="0"/>
    <xf numFmtId="0" fontId="1" fillId="58" borderId="130" applyNumberFormat="0" applyFont="0" applyAlignment="0" applyProtection="0"/>
    <xf numFmtId="0" fontId="107" fillId="34" borderId="131" applyNumberFormat="0" applyAlignment="0" applyProtection="0"/>
    <xf numFmtId="0" fontId="109" fillId="0" borderId="132" applyNumberFormat="0" applyFill="0" applyAlignment="0" applyProtection="0"/>
    <xf numFmtId="4" fontId="5" fillId="0" borderId="127" applyNumberFormat="0" applyProtection="0">
      <alignment horizontal="right" vertical="center"/>
    </xf>
    <xf numFmtId="4" fontId="111" fillId="15" borderId="127" applyNumberFormat="0" applyProtection="0">
      <alignment horizontal="right" vertical="center"/>
    </xf>
    <xf numFmtId="4" fontId="5" fillId="50" borderId="127" applyNumberFormat="0" applyProtection="0">
      <alignment horizontal="left" vertical="center" indent="1"/>
    </xf>
    <xf numFmtId="0" fontId="5" fillId="60" borderId="128" applyNumberFormat="0" applyProtection="0">
      <alignment horizontal="left" vertical="top" indent="1"/>
    </xf>
    <xf numFmtId="0" fontId="5" fillId="59" borderId="128" applyNumberFormat="0" applyProtection="0">
      <alignment horizontal="left" vertical="top" indent="1"/>
    </xf>
    <xf numFmtId="0" fontId="5" fillId="44" borderId="128" applyNumberFormat="0" applyProtection="0">
      <alignment horizontal="left" vertical="top" indent="1"/>
    </xf>
    <xf numFmtId="0" fontId="5" fillId="34" borderId="127" applyNumberFormat="0" applyProtection="0">
      <alignment horizontal="left" vertical="center" indent="1"/>
    </xf>
    <xf numFmtId="4" fontId="5" fillId="59" borderId="127" applyNumberFormat="0" applyProtection="0">
      <alignment horizontal="right" vertical="center"/>
    </xf>
    <xf numFmtId="4" fontId="5" fillId="0" borderId="127" applyNumberFormat="0" applyProtection="0">
      <alignment horizontal="right" vertical="center"/>
    </xf>
    <xf numFmtId="4" fontId="111" fillId="15" borderId="127" applyNumberFormat="0" applyProtection="0">
      <alignment horizontal="right" vertical="center"/>
    </xf>
    <xf numFmtId="0" fontId="5" fillId="61" borderId="127" applyNumberFormat="0" applyProtection="0">
      <alignment horizontal="left" vertical="center" indent="1"/>
    </xf>
    <xf numFmtId="0" fontId="5" fillId="44" borderId="127" applyNumberFormat="0" applyProtection="0">
      <alignment horizontal="left" vertical="center" indent="1"/>
    </xf>
    <xf numFmtId="0" fontId="5" fillId="62" borderId="127" applyNumberFormat="0" applyProtection="0">
      <alignment horizontal="left" vertical="center" indent="1"/>
    </xf>
    <xf numFmtId="4" fontId="112" fillId="63" borderId="127" applyNumberFormat="0" applyProtection="0">
      <alignment horizontal="right" vertical="center"/>
    </xf>
    <xf numFmtId="4" fontId="5" fillId="50" borderId="127" applyNumberFormat="0" applyProtection="0">
      <alignment horizontal="left" vertical="center" indent="1"/>
    </xf>
    <xf numFmtId="4" fontId="5" fillId="0" borderId="127" applyNumberFormat="0" applyProtection="0">
      <alignment horizontal="right" vertical="center"/>
    </xf>
    <xf numFmtId="0" fontId="5" fillId="34" borderId="127" applyNumberFormat="0" applyProtection="0">
      <alignment horizontal="left" vertical="center" indent="1"/>
    </xf>
    <xf numFmtId="0" fontId="5" fillId="59" borderId="128" applyNumberFormat="0" applyProtection="0">
      <alignment horizontal="left" vertical="top" indent="1"/>
    </xf>
    <xf numFmtId="4" fontId="112" fillId="63" borderId="127" applyNumberFormat="0" applyProtection="0">
      <alignment horizontal="right" vertical="center"/>
    </xf>
    <xf numFmtId="0" fontId="5" fillId="62" borderId="127" applyNumberFormat="0" applyProtection="0">
      <alignment horizontal="left" vertical="center" indent="1"/>
    </xf>
    <xf numFmtId="0" fontId="5" fillId="44" borderId="127" applyNumberFormat="0" applyProtection="0">
      <alignment horizontal="left" vertical="center" indent="1"/>
    </xf>
    <xf numFmtId="0" fontId="5" fillId="61" borderId="127" applyNumberFormat="0" applyProtection="0">
      <alignment horizontal="left" vertical="center" indent="1"/>
    </xf>
    <xf numFmtId="4" fontId="5" fillId="59" borderId="127" applyNumberFormat="0" applyProtection="0">
      <alignment horizontal="right" vertical="center"/>
    </xf>
    <xf numFmtId="0" fontId="94" fillId="58" borderId="130" applyNumberFormat="0" applyFont="0" applyAlignment="0" applyProtection="0"/>
    <xf numFmtId="0" fontId="5" fillId="44" borderId="128" applyNumberFormat="0" applyProtection="0">
      <alignment horizontal="left" vertical="top" indent="1"/>
    </xf>
    <xf numFmtId="0" fontId="5" fillId="60" borderId="128" applyNumberFormat="0" applyProtection="0">
      <alignment horizontal="left" vertical="top" indent="1"/>
    </xf>
    <xf numFmtId="0" fontId="94" fillId="58" borderId="130" applyNumberFormat="0" applyFont="0" applyAlignment="0" applyProtection="0"/>
    <xf numFmtId="4" fontId="38" fillId="3" borderId="131" applyNumberFormat="0" applyProtection="0">
      <alignment horizontal="left" vertical="center" indent="1"/>
    </xf>
    <xf numFmtId="4" fontId="68" fillId="30" borderId="131" applyNumberFormat="0" applyProtection="0">
      <alignment horizontal="right" vertical="center"/>
    </xf>
    <xf numFmtId="0" fontId="1" fillId="19" borderId="131" applyNumberFormat="0" applyProtection="0">
      <alignment horizontal="left" vertical="center" indent="1"/>
    </xf>
    <xf numFmtId="0" fontId="1" fillId="19" borderId="131" applyNumberFormat="0" applyProtection="0">
      <alignment horizontal="left" vertical="center" indent="1"/>
    </xf>
    <xf numFmtId="4" fontId="64" fillId="30" borderId="131" applyNumberFormat="0" applyProtection="0">
      <alignment horizontal="right" vertical="center"/>
    </xf>
    <xf numFmtId="4" fontId="38" fillId="30" borderId="131" applyNumberFormat="0" applyProtection="0">
      <alignment horizontal="right" vertical="center"/>
    </xf>
    <xf numFmtId="4" fontId="38" fillId="3" borderId="131" applyNumberFormat="0" applyProtection="0">
      <alignment horizontal="left" vertical="center" indent="1"/>
    </xf>
    <xf numFmtId="4" fontId="64" fillId="3" borderId="131" applyNumberFormat="0" applyProtection="0">
      <alignment vertical="center"/>
    </xf>
    <xf numFmtId="4" fontId="38" fillId="3" borderId="131" applyNumberFormat="0" applyProtection="0">
      <alignment vertical="center"/>
    </xf>
    <xf numFmtId="0" fontId="1" fillId="19" borderId="131" applyNumberFormat="0" applyProtection="0">
      <alignment horizontal="left" vertical="center" indent="1"/>
    </xf>
    <xf numFmtId="0" fontId="1" fillId="19" borderId="131" applyNumberFormat="0" applyProtection="0">
      <alignment horizontal="left" vertical="center" indent="1"/>
    </xf>
    <xf numFmtId="0" fontId="1" fillId="2" borderId="131" applyNumberFormat="0" applyProtection="0">
      <alignment horizontal="left" vertical="center" indent="1"/>
    </xf>
    <xf numFmtId="0" fontId="1" fillId="2" borderId="131" applyNumberFormat="0" applyProtection="0">
      <alignment horizontal="left" vertical="center" indent="1"/>
    </xf>
    <xf numFmtId="0" fontId="1" fillId="33" borderId="131" applyNumberFormat="0" applyProtection="0">
      <alignment horizontal="left" vertical="center" indent="1"/>
    </xf>
    <xf numFmtId="0" fontId="1" fillId="33" borderId="131" applyNumberFormat="0" applyProtection="0">
      <alignment horizontal="left" vertical="center" indent="1"/>
    </xf>
    <xf numFmtId="0" fontId="1" fillId="32" borderId="131" applyNumberFormat="0" applyProtection="0">
      <alignment horizontal="left" vertical="center" indent="1"/>
    </xf>
    <xf numFmtId="0" fontId="1" fillId="32" borderId="131" applyNumberFormat="0" applyProtection="0">
      <alignment horizontal="left" vertical="center" indent="1"/>
    </xf>
    <xf numFmtId="4" fontId="38" fillId="32" borderId="131" applyNumberFormat="0" applyProtection="0">
      <alignment horizontal="left" vertical="center" indent="1"/>
    </xf>
    <xf numFmtId="4" fontId="38" fillId="30" borderId="131" applyNumberFormat="0" applyProtection="0">
      <alignment horizontal="left" vertical="center" indent="1"/>
    </xf>
    <xf numFmtId="0" fontId="1" fillId="19" borderId="131" applyNumberFormat="0" applyProtection="0">
      <alignment horizontal="left" vertical="center" indent="1"/>
    </xf>
    <xf numFmtId="4" fontId="65" fillId="29" borderId="131" applyNumberFormat="0" applyProtection="0">
      <alignment horizontal="left" vertical="center" indent="1"/>
    </xf>
    <xf numFmtId="4" fontId="38" fillId="23" borderId="131" applyNumberFormat="0" applyProtection="0">
      <alignment horizontal="right" vertical="center"/>
    </xf>
    <xf numFmtId="0" fontId="1" fillId="19" borderId="131" applyNumberFormat="0" applyProtection="0">
      <alignment horizontal="left" vertical="center" indent="1"/>
    </xf>
    <xf numFmtId="4" fontId="38" fillId="18" borderId="131" applyNumberFormat="0" applyProtection="0">
      <alignment horizontal="left" vertical="center" indent="1"/>
    </xf>
    <xf numFmtId="4" fontId="38" fillId="18" borderId="131" applyNumberFormat="0" applyProtection="0">
      <alignment horizontal="left" vertical="center" indent="1"/>
    </xf>
    <xf numFmtId="4" fontId="64" fillId="18" borderId="131" applyNumberFormat="0" applyProtection="0">
      <alignment vertical="center"/>
    </xf>
    <xf numFmtId="4" fontId="38" fillId="18" borderId="131" applyNumberFormat="0" applyProtection="0">
      <alignment vertical="center"/>
    </xf>
    <xf numFmtId="0" fontId="109" fillId="0" borderId="132" applyNumberFormat="0" applyFill="0" applyAlignment="0" applyProtection="0"/>
    <xf numFmtId="0" fontId="107" fillId="34" borderId="131" applyNumberFormat="0" applyAlignment="0" applyProtection="0"/>
    <xf numFmtId="4" fontId="38" fillId="28" borderId="131" applyNumberFormat="0" applyProtection="0">
      <alignment horizontal="right" vertical="center"/>
    </xf>
    <xf numFmtId="4" fontId="38" fillId="24" borderId="131" applyNumberFormat="0" applyProtection="0">
      <alignment horizontal="right" vertical="center"/>
    </xf>
    <xf numFmtId="4" fontId="38" fillId="26" borderId="131" applyNumberFormat="0" applyProtection="0">
      <alignment horizontal="right" vertical="center"/>
    </xf>
    <xf numFmtId="0" fontId="1" fillId="58" borderId="130" applyNumberFormat="0" applyFont="0" applyAlignment="0" applyProtection="0"/>
    <xf numFmtId="4" fontId="38" fillId="27" borderId="131" applyNumberFormat="0" applyProtection="0">
      <alignment horizontal="right" vertical="center"/>
    </xf>
    <xf numFmtId="4" fontId="38" fillId="25" borderId="131" applyNumberFormat="0" applyProtection="0">
      <alignment horizontal="right" vertical="center"/>
    </xf>
    <xf numFmtId="4" fontId="38" fillId="22" borderId="131" applyNumberFormat="0" applyProtection="0">
      <alignment horizontal="right" vertical="center"/>
    </xf>
    <xf numFmtId="4" fontId="5" fillId="0" borderId="127" applyNumberFormat="0" applyProtection="0">
      <alignment horizontal="right" vertical="center"/>
    </xf>
    <xf numFmtId="4" fontId="111" fillId="15" borderId="127" applyNumberFormat="0" applyProtection="0">
      <alignment horizontal="right" vertical="center"/>
    </xf>
    <xf numFmtId="4" fontId="5" fillId="50" borderId="127" applyNumberFormat="0" applyProtection="0">
      <alignment horizontal="left" vertical="center" indent="1"/>
    </xf>
    <xf numFmtId="0" fontId="5" fillId="60" borderId="128" applyNumberFormat="0" applyProtection="0">
      <alignment horizontal="left" vertical="top" indent="1"/>
    </xf>
    <xf numFmtId="0" fontId="5" fillId="59" borderId="128" applyNumberFormat="0" applyProtection="0">
      <alignment horizontal="left" vertical="top" indent="1"/>
    </xf>
    <xf numFmtId="0" fontId="5" fillId="44" borderId="128" applyNumberFormat="0" applyProtection="0">
      <alignment horizontal="left" vertical="top" indent="1"/>
    </xf>
    <xf numFmtId="0" fontId="5" fillId="34" borderId="127" applyNumberFormat="0" applyProtection="0">
      <alignment horizontal="left" vertical="center" indent="1"/>
    </xf>
    <xf numFmtId="4" fontId="5" fillId="59" borderId="127" applyNumberFormat="0" applyProtection="0">
      <alignment horizontal="right" vertical="center"/>
    </xf>
    <xf numFmtId="4" fontId="5" fillId="0" borderId="127" applyNumberFormat="0" applyProtection="0">
      <alignment horizontal="right" vertical="center"/>
    </xf>
    <xf numFmtId="4" fontId="111" fillId="15" borderId="127" applyNumberFormat="0" applyProtection="0">
      <alignment horizontal="right" vertical="center"/>
    </xf>
    <xf numFmtId="0" fontId="5" fillId="61" borderId="127" applyNumberFormat="0" applyProtection="0">
      <alignment horizontal="left" vertical="center" indent="1"/>
    </xf>
    <xf numFmtId="0" fontId="5" fillId="44" borderId="127" applyNumberFormat="0" applyProtection="0">
      <alignment horizontal="left" vertical="center" indent="1"/>
    </xf>
    <xf numFmtId="0" fontId="5" fillId="62" borderId="127" applyNumberFormat="0" applyProtection="0">
      <alignment horizontal="left" vertical="center" indent="1"/>
    </xf>
    <xf numFmtId="4" fontId="112" fillId="63" borderId="127" applyNumberFormat="0" applyProtection="0">
      <alignment horizontal="right" vertical="center"/>
    </xf>
    <xf numFmtId="4" fontId="5" fillId="50" borderId="127" applyNumberFormat="0" applyProtection="0">
      <alignment horizontal="left" vertical="center" indent="1"/>
    </xf>
    <xf numFmtId="4" fontId="5" fillId="0" borderId="127" applyNumberFormat="0" applyProtection="0">
      <alignment horizontal="right" vertical="center"/>
    </xf>
    <xf numFmtId="0" fontId="5" fillId="34" borderId="127" applyNumberFormat="0" applyProtection="0">
      <alignment horizontal="left" vertical="center" indent="1"/>
    </xf>
    <xf numFmtId="0" fontId="5" fillId="59" borderId="128" applyNumberFormat="0" applyProtection="0">
      <alignment horizontal="left" vertical="top" indent="1"/>
    </xf>
    <xf numFmtId="4" fontId="38" fillId="21" borderId="131" applyNumberFormat="0" applyProtection="0">
      <alignment horizontal="right" vertical="center"/>
    </xf>
    <xf numFmtId="4" fontId="112" fillId="63" borderId="127" applyNumberFormat="0" applyProtection="0">
      <alignment horizontal="right" vertical="center"/>
    </xf>
    <xf numFmtId="0" fontId="5" fillId="62" borderId="127" applyNumberFormat="0" applyProtection="0">
      <alignment horizontal="left" vertical="center" indent="1"/>
    </xf>
    <xf numFmtId="0" fontId="5" fillId="44" borderId="127" applyNumberFormat="0" applyProtection="0">
      <alignment horizontal="left" vertical="center" indent="1"/>
    </xf>
    <xf numFmtId="0" fontId="5" fillId="61" borderId="127" applyNumberFormat="0" applyProtection="0">
      <alignment horizontal="left" vertical="center" indent="1"/>
    </xf>
    <xf numFmtId="4" fontId="5" fillId="59" borderId="127" applyNumberFormat="0" applyProtection="0">
      <alignment horizontal="right" vertical="center"/>
    </xf>
    <xf numFmtId="0" fontId="5" fillId="44" borderId="128" applyNumberFormat="0" applyProtection="0">
      <alignment horizontal="left" vertical="top" indent="1"/>
    </xf>
    <xf numFmtId="0" fontId="5" fillId="60" borderId="128" applyNumberFormat="0" applyProtection="0">
      <alignment horizontal="left" vertical="top" indent="1"/>
    </xf>
    <xf numFmtId="4" fontId="38" fillId="20" borderId="131" applyNumberFormat="0" applyProtection="0">
      <alignment horizontal="right" vertical="center"/>
    </xf>
    <xf numFmtId="0" fontId="2" fillId="0" borderId="129">
      <alignment horizontal="left" vertical="center"/>
    </xf>
    <xf numFmtId="0" fontId="94" fillId="58" borderId="130" applyNumberFormat="0" applyFont="0" applyAlignment="0" applyProtection="0"/>
    <xf numFmtId="0" fontId="94" fillId="58" borderId="130" applyNumberFormat="0" applyFont="0" applyAlignment="0" applyProtection="0"/>
    <xf numFmtId="0" fontId="94" fillId="0" borderId="0"/>
    <xf numFmtId="0" fontId="163" fillId="0" borderId="0"/>
    <xf numFmtId="0" fontId="164" fillId="0" borderId="0" applyAlignment="0">
      <alignment vertical="center"/>
    </xf>
    <xf numFmtId="0" fontId="163" fillId="0" borderId="0"/>
    <xf numFmtId="0" fontId="164" fillId="0" borderId="0" applyAlignment="0">
      <alignment vertical="center"/>
    </xf>
    <xf numFmtId="0" fontId="181" fillId="0" borderId="0"/>
    <xf numFmtId="0" fontId="181" fillId="0" borderId="0"/>
    <xf numFmtId="0" fontId="11" fillId="0" borderId="0"/>
    <xf numFmtId="0" fontId="1" fillId="0" borderId="0"/>
    <xf numFmtId="0" fontId="11" fillId="0" borderId="0"/>
    <xf numFmtId="0" fontId="164" fillId="0" borderId="0" applyAlignment="0">
      <alignment vertical="center"/>
    </xf>
    <xf numFmtId="9" fontId="164" fillId="0" borderId="0" applyFont="0" applyFill="0" applyBorder="0" applyAlignment="0" applyProtection="0">
      <alignment vertical="center"/>
    </xf>
    <xf numFmtId="9"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 fillId="0" borderId="0" applyNumberFormat="0" applyFont="0" applyFill="0" applyBorder="0" applyAlignment="0" applyProtection="0">
      <alignment vertical="top"/>
    </xf>
    <xf numFmtId="0" fontId="1" fillId="0" borderId="0" applyNumberFormat="0" applyFont="0" applyFill="0" applyBorder="0" applyAlignment="0" applyProtection="0">
      <alignment vertical="top"/>
    </xf>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9" fillId="0" borderId="0" applyFont="0" applyFill="0" applyBorder="0" applyAlignment="0" applyProtection="0"/>
    <xf numFmtId="165" fontId="18" fillId="0" borderId="0" applyFont="0" applyFill="0" applyBorder="0" applyAlignment="0" applyProtection="0"/>
    <xf numFmtId="0" fontId="94" fillId="58" borderId="58" applyNumberFormat="0" applyFont="0" applyAlignment="0" applyProtection="0"/>
    <xf numFmtId="0" fontId="5" fillId="44" borderId="81" applyNumberFormat="0" applyProtection="0">
      <alignment horizontal="left" vertical="top" indent="1"/>
    </xf>
    <xf numFmtId="165" fontId="4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5" fillId="60" borderId="81" applyNumberFormat="0" applyProtection="0">
      <alignment horizontal="left" vertical="top" indent="1"/>
    </xf>
    <xf numFmtId="165" fontId="19" fillId="0" borderId="0" applyFont="0" applyFill="0" applyBorder="0" applyAlignment="0" applyProtection="0"/>
    <xf numFmtId="4" fontId="38" fillId="32" borderId="84" applyNumberFormat="0" applyProtection="0">
      <alignment horizontal="left" vertical="center" indent="1"/>
    </xf>
    <xf numFmtId="165" fontId="19" fillId="0" borderId="0" applyFont="0" applyFill="0" applyBorder="0" applyAlignment="0" applyProtection="0"/>
    <xf numFmtId="4" fontId="38" fillId="26" borderId="84" applyNumberFormat="0" applyProtection="0">
      <alignment horizontal="right" vertical="center"/>
    </xf>
    <xf numFmtId="5" fontId="77" fillId="30" borderId="133">
      <alignment vertical="top"/>
    </xf>
    <xf numFmtId="6" fontId="79" fillId="36" borderId="133"/>
    <xf numFmtId="5" fontId="55" fillId="0" borderId="133">
      <alignment horizontal="left" vertical="top"/>
    </xf>
    <xf numFmtId="165" fontId="1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0" fontId="1" fillId="19" borderId="84" applyNumberFormat="0" applyProtection="0">
      <alignment horizontal="left" vertical="center" indent="1"/>
    </xf>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5" fontId="36" fillId="0" borderId="86" applyAlignment="0" applyProtection="0"/>
    <xf numFmtId="0" fontId="1" fillId="19" borderId="84" applyNumberFormat="0" applyProtection="0">
      <alignment horizontal="left" vertical="center" indent="1"/>
    </xf>
    <xf numFmtId="0" fontId="94" fillId="58" borderId="58" applyNumberFormat="0" applyFont="0" applyAlignment="0" applyProtection="0"/>
    <xf numFmtId="165" fontId="1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 fontId="5" fillId="59" borderId="55" applyNumberFormat="0" applyProtection="0">
      <alignment horizontal="right" vertical="center"/>
    </xf>
    <xf numFmtId="165" fontId="1" fillId="0" borderId="0" applyFont="0" applyFill="0" applyBorder="0" applyAlignment="0" applyProtection="0"/>
    <xf numFmtId="165" fontId="11" fillId="0" borderId="0" applyFont="0" applyFill="0" applyBorder="0" applyAlignment="0" applyProtection="0"/>
    <xf numFmtId="165" fontId="94"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4" fontId="38" fillId="3" borderId="84" applyNumberFormat="0" applyProtection="0">
      <alignment horizontal="left" vertical="center" indent="1"/>
    </xf>
    <xf numFmtId="4" fontId="68" fillId="30" borderId="84" applyNumberFormat="0" applyProtection="0">
      <alignment horizontal="righ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4" fontId="64" fillId="30" borderId="84" applyNumberFormat="0" applyProtection="0">
      <alignment horizontal="right" vertical="center"/>
    </xf>
    <xf numFmtId="4" fontId="38" fillId="30" borderId="84" applyNumberFormat="0" applyProtection="0">
      <alignment horizontal="right" vertical="center"/>
    </xf>
    <xf numFmtId="4" fontId="38" fillId="3" borderId="84" applyNumberFormat="0" applyProtection="0">
      <alignment horizontal="left" vertical="center" indent="1"/>
    </xf>
    <xf numFmtId="4" fontId="64" fillId="3" borderId="84" applyNumberFormat="0" applyProtection="0">
      <alignment vertical="center"/>
    </xf>
    <xf numFmtId="4" fontId="38" fillId="3" borderId="84" applyNumberFormat="0" applyProtection="0">
      <alignmen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0" fontId="1" fillId="2" borderId="84" applyNumberFormat="0" applyProtection="0">
      <alignment horizontal="left" vertical="center" indent="1"/>
    </xf>
    <xf numFmtId="0" fontId="1" fillId="2" borderId="84" applyNumberFormat="0" applyProtection="0">
      <alignment horizontal="left" vertical="center" indent="1"/>
    </xf>
    <xf numFmtId="0" fontId="1" fillId="33" borderId="84" applyNumberFormat="0" applyProtection="0">
      <alignment horizontal="left" vertical="center" indent="1"/>
    </xf>
    <xf numFmtId="0" fontId="1" fillId="33" borderId="84" applyNumberFormat="0" applyProtection="0">
      <alignment horizontal="left" vertical="center" indent="1"/>
    </xf>
    <xf numFmtId="0" fontId="1" fillId="32" borderId="84" applyNumberFormat="0" applyProtection="0">
      <alignment horizontal="left" vertical="center" indent="1"/>
    </xf>
    <xf numFmtId="0" fontId="1" fillId="32" borderId="84" applyNumberFormat="0" applyProtection="0">
      <alignment horizontal="left" vertical="center" indent="1"/>
    </xf>
    <xf numFmtId="4" fontId="38" fillId="32" borderId="84" applyNumberFormat="0" applyProtection="0">
      <alignment horizontal="left" vertical="center" indent="1"/>
    </xf>
    <xf numFmtId="4" fontId="38" fillId="30" borderId="84" applyNumberFormat="0" applyProtection="0">
      <alignment horizontal="left" vertical="center" indent="1"/>
    </xf>
    <xf numFmtId="0" fontId="1" fillId="19" borderId="84" applyNumberFormat="0" applyProtection="0">
      <alignment horizontal="left" vertical="center" indent="1"/>
    </xf>
    <xf numFmtId="4" fontId="65" fillId="29" borderId="84" applyNumberFormat="0" applyProtection="0">
      <alignment horizontal="left" vertical="center" indent="1"/>
    </xf>
    <xf numFmtId="4" fontId="38" fillId="23" borderId="84" applyNumberFormat="0" applyProtection="0">
      <alignment horizontal="right" vertical="center"/>
    </xf>
    <xf numFmtId="0" fontId="1" fillId="19" borderId="84" applyNumberFormat="0" applyProtection="0">
      <alignment horizontal="left" vertical="center" indent="1"/>
    </xf>
    <xf numFmtId="4" fontId="38" fillId="18" borderId="84" applyNumberFormat="0" applyProtection="0">
      <alignment horizontal="left" vertical="center" indent="1"/>
    </xf>
    <xf numFmtId="4" fontId="38" fillId="18" borderId="84" applyNumberFormat="0" applyProtection="0">
      <alignment horizontal="left" vertical="center" indent="1"/>
    </xf>
    <xf numFmtId="4" fontId="64" fillId="18" borderId="84" applyNumberFormat="0" applyProtection="0">
      <alignment vertical="center"/>
    </xf>
    <xf numFmtId="4" fontId="38" fillId="18" borderId="84" applyNumberFormat="0" applyProtection="0">
      <alignment vertical="center"/>
    </xf>
    <xf numFmtId="0" fontId="109" fillId="0" borderId="85" applyNumberFormat="0" applyFill="0" applyAlignment="0" applyProtection="0"/>
    <xf numFmtId="0" fontId="107" fillId="34" borderId="84" applyNumberFormat="0" applyAlignment="0" applyProtection="0"/>
    <xf numFmtId="4" fontId="38" fillId="28" borderId="84" applyNumberFormat="0" applyProtection="0">
      <alignment horizontal="right" vertical="center"/>
    </xf>
    <xf numFmtId="4" fontId="38" fillId="24" borderId="84" applyNumberFormat="0" applyProtection="0">
      <alignment horizontal="right" vertical="center"/>
    </xf>
    <xf numFmtId="4" fontId="38" fillId="26" borderId="84" applyNumberFormat="0" applyProtection="0">
      <alignment horizontal="right" vertical="center"/>
    </xf>
    <xf numFmtId="0" fontId="1" fillId="58" borderId="58" applyNumberFormat="0" applyFont="0" applyAlignment="0" applyProtection="0"/>
    <xf numFmtId="4" fontId="38" fillId="27" borderId="84" applyNumberFormat="0" applyProtection="0">
      <alignment horizontal="right" vertical="center"/>
    </xf>
    <xf numFmtId="4" fontId="38" fillId="25" borderId="84" applyNumberFormat="0" applyProtection="0">
      <alignment horizontal="right" vertical="center"/>
    </xf>
    <xf numFmtId="4" fontId="38" fillId="22" borderId="84" applyNumberFormat="0" applyProtection="0">
      <alignment horizontal="right" vertical="center"/>
    </xf>
    <xf numFmtId="165" fontId="18" fillId="0" borderId="0" applyFont="0" applyFill="0" applyBorder="0" applyAlignment="0" applyProtection="0"/>
    <xf numFmtId="165" fontId="18" fillId="0" borderId="0" applyFont="0" applyFill="0" applyBorder="0" applyAlignment="0" applyProtection="0"/>
    <xf numFmtId="165" fontId="19"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3" fillId="0" borderId="0" applyFont="0" applyFill="0" applyBorder="0" applyAlignment="0" applyProtection="0"/>
    <xf numFmtId="165" fontId="1" fillId="0" borderId="0" applyFont="0" applyFill="0" applyBorder="0" applyAlignment="0" applyProtection="0"/>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59" borderId="81" applyNumberFormat="0" applyProtection="0">
      <alignment horizontal="left" vertical="top" indent="1"/>
    </xf>
    <xf numFmtId="4" fontId="38" fillId="21" borderId="84" applyNumberFormat="0" applyProtection="0">
      <alignment horizontal="right" vertical="center"/>
    </xf>
    <xf numFmtId="0" fontId="5" fillId="44" borderId="81" applyNumberFormat="0" applyProtection="0">
      <alignment horizontal="left" vertical="top" indent="1"/>
    </xf>
    <xf numFmtId="0" fontId="5" fillId="60" borderId="81" applyNumberFormat="0" applyProtection="0">
      <alignment horizontal="left" vertical="top" indent="1"/>
    </xf>
    <xf numFmtId="4" fontId="38" fillId="20" borderId="84" applyNumberFormat="0" applyProtection="0">
      <alignment horizontal="right" vertical="center"/>
    </xf>
    <xf numFmtId="0" fontId="94" fillId="58" borderId="58" applyNumberFormat="0" applyFont="0" applyAlignment="0" applyProtection="0"/>
    <xf numFmtId="0" fontId="94" fillId="58" borderId="58" applyNumberFormat="0" applyFont="0" applyAlignment="0" applyProtection="0"/>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165" fontId="1" fillId="0" borderId="0" applyFont="0" applyFill="0" applyBorder="0" applyAlignment="0" applyProtection="0"/>
    <xf numFmtId="4" fontId="38" fillId="30" borderId="84" applyNumberFormat="0" applyProtection="0">
      <alignment horizontal="left" vertical="center" indent="1"/>
    </xf>
    <xf numFmtId="165" fontId="1" fillId="0" borderId="0" applyFont="0" applyFill="0" applyBorder="0" applyAlignment="0" applyProtection="0"/>
    <xf numFmtId="0" fontId="5" fillId="59" borderId="81" applyNumberFormat="0" applyProtection="0">
      <alignment horizontal="left" vertical="top" indent="1"/>
    </xf>
    <xf numFmtId="0" fontId="5" fillId="34" borderId="55" applyNumberFormat="0" applyProtection="0">
      <alignment horizontal="left" vertical="center" indent="1"/>
    </xf>
    <xf numFmtId="4" fontId="5" fillId="0" borderId="55" applyNumberFormat="0" applyProtection="0">
      <alignment horizontal="right" vertical="center"/>
    </xf>
    <xf numFmtId="4" fontId="5" fillId="50" borderId="55" applyNumberFormat="0" applyProtection="0">
      <alignment horizontal="left" vertical="center"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111" fillId="15"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4" fontId="38" fillId="24" borderId="84" applyNumberFormat="0" applyProtection="0">
      <alignment horizontal="right" vertical="center"/>
    </xf>
    <xf numFmtId="5" fontId="36" fillId="0" borderId="86" applyAlignment="0" applyProtection="0"/>
    <xf numFmtId="164" fontId="1" fillId="0" borderId="0" applyFont="0" applyFill="0" applyBorder="0" applyAlignment="0" applyProtection="0"/>
    <xf numFmtId="0" fontId="107" fillId="34" borderId="84" applyNumberFormat="0" applyAlignment="0" applyProtection="0"/>
    <xf numFmtId="165" fontId="4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 fontId="38" fillId="24" borderId="84" applyNumberFormat="0" applyProtection="0">
      <alignment horizontal="right" vertical="center"/>
    </xf>
    <xf numFmtId="4" fontId="38" fillId="23" borderId="84" applyNumberFormat="0" applyProtection="0">
      <alignment horizontal="right" vertical="center"/>
    </xf>
    <xf numFmtId="0" fontId="1" fillId="32" borderId="84" applyNumberFormat="0" applyProtection="0">
      <alignment horizontal="left" vertical="center" indent="1"/>
    </xf>
    <xf numFmtId="5" fontId="77" fillId="30" borderId="133">
      <alignment vertical="top"/>
    </xf>
    <xf numFmtId="4" fontId="38" fillId="20" borderId="84" applyNumberFormat="0" applyProtection="0">
      <alignment horizontal="right" vertical="center"/>
    </xf>
    <xf numFmtId="6" fontId="79" fillId="36" borderId="133"/>
    <xf numFmtId="5" fontId="55" fillId="0" borderId="133">
      <alignment horizontal="left" vertical="top"/>
    </xf>
    <xf numFmtId="187" fontId="50" fillId="0" borderId="86"/>
    <xf numFmtId="165" fontId="18" fillId="0" borderId="0" applyFont="0" applyFill="0" applyBorder="0" applyAlignment="0" applyProtection="0"/>
    <xf numFmtId="0" fontId="2" fillId="0" borderId="57">
      <alignment horizontal="left" vertical="center"/>
    </xf>
    <xf numFmtId="4" fontId="38" fillId="27" borderId="84" applyNumberFormat="0" applyProtection="0">
      <alignment horizontal="right" vertical="center"/>
    </xf>
    <xf numFmtId="4" fontId="65" fillId="29" borderId="84" applyNumberFormat="0" applyProtection="0">
      <alignment horizontal="left" vertical="center" indent="1"/>
    </xf>
    <xf numFmtId="0" fontId="1" fillId="19" borderId="84" applyNumberFormat="0" applyProtection="0">
      <alignment horizontal="left" vertical="center" indent="1"/>
    </xf>
    <xf numFmtId="4" fontId="38" fillId="30" borderId="84" applyNumberFormat="0" applyProtection="0">
      <alignment horizontal="left" vertical="center" indent="1"/>
    </xf>
    <xf numFmtId="0" fontId="1" fillId="32" borderId="84" applyNumberFormat="0" applyProtection="0">
      <alignment horizontal="left" vertical="center" indent="1"/>
    </xf>
    <xf numFmtId="0" fontId="1" fillId="33" borderId="84" applyNumberFormat="0" applyProtection="0">
      <alignment horizontal="left" vertical="center" indent="1"/>
    </xf>
    <xf numFmtId="0" fontId="1" fillId="33" borderId="84" applyNumberFormat="0" applyProtection="0">
      <alignment horizontal="left" vertical="center" indent="1"/>
    </xf>
    <xf numFmtId="4" fontId="64" fillId="3" borderId="84" applyNumberFormat="0" applyProtection="0">
      <alignment vertical="center"/>
    </xf>
    <xf numFmtId="4" fontId="38" fillId="3" borderId="84" applyNumberFormat="0" applyProtection="0">
      <alignment horizontal="left" vertical="center" indent="1"/>
    </xf>
    <xf numFmtId="4" fontId="38" fillId="3" borderId="84" applyNumberFormat="0" applyProtection="0">
      <alignment horizontal="left" vertical="center" indent="1"/>
    </xf>
    <xf numFmtId="0" fontId="1" fillId="2" borderId="84" applyNumberFormat="0" applyProtection="0">
      <alignment horizontal="left" vertical="center" indent="1"/>
    </xf>
    <xf numFmtId="165" fontId="18" fillId="0" borderId="0" applyFont="0" applyFill="0" applyBorder="0" applyAlignment="0" applyProtection="0"/>
    <xf numFmtId="0" fontId="1" fillId="19" borderId="84" applyNumberFormat="0" applyProtection="0">
      <alignment horizontal="left" vertical="center" indent="1"/>
    </xf>
    <xf numFmtId="4" fontId="38" fillId="32" borderId="84" applyNumberFormat="0" applyProtection="0">
      <alignment horizontal="left" vertical="center" indent="1"/>
    </xf>
    <xf numFmtId="5" fontId="77" fillId="30" borderId="133">
      <alignment vertical="top"/>
    </xf>
    <xf numFmtId="4" fontId="65" fillId="29" borderId="84" applyNumberFormat="0" applyProtection="0">
      <alignment horizontal="left" vertical="center" indent="1"/>
    </xf>
    <xf numFmtId="4" fontId="38" fillId="28" borderId="84" applyNumberFormat="0" applyProtection="0">
      <alignment horizontal="right" vertical="center"/>
    </xf>
    <xf numFmtId="4" fontId="38" fillId="27" borderId="84" applyNumberFormat="0" applyProtection="0">
      <alignment horizontal="right" vertical="center"/>
    </xf>
    <xf numFmtId="4" fontId="38" fillId="26" borderId="84" applyNumberFormat="0" applyProtection="0">
      <alignment horizontal="right" vertical="center"/>
    </xf>
    <xf numFmtId="4" fontId="38" fillId="25" borderId="84" applyNumberFormat="0" applyProtection="0">
      <alignment horizontal="right" vertical="center"/>
    </xf>
    <xf numFmtId="4" fontId="38" fillId="24" borderId="84" applyNumberFormat="0" applyProtection="0">
      <alignment horizontal="right" vertical="center"/>
    </xf>
    <xf numFmtId="4" fontId="38" fillId="23" borderId="84" applyNumberFormat="0" applyProtection="0">
      <alignment horizontal="right" vertical="center"/>
    </xf>
    <xf numFmtId="4" fontId="38" fillId="22" borderId="84" applyNumberFormat="0" applyProtection="0">
      <alignment horizontal="right" vertical="center"/>
    </xf>
    <xf numFmtId="4" fontId="38" fillId="21" borderId="84" applyNumberFormat="0" applyProtection="0">
      <alignment horizontal="right" vertical="center"/>
    </xf>
    <xf numFmtId="4" fontId="38" fillId="20" borderId="84" applyNumberFormat="0" applyProtection="0">
      <alignment horizontal="right" vertical="center"/>
    </xf>
    <xf numFmtId="0" fontId="1" fillId="19" borderId="84" applyNumberFormat="0" applyProtection="0">
      <alignment horizontal="left" vertical="center" indent="1"/>
    </xf>
    <xf numFmtId="4" fontId="38" fillId="18" borderId="84" applyNumberFormat="0" applyProtection="0">
      <alignment horizontal="left" vertical="center" indent="1"/>
    </xf>
    <xf numFmtId="4" fontId="38" fillId="18" borderId="84" applyNumberFormat="0" applyProtection="0">
      <alignment horizontal="left" vertical="center" indent="1"/>
    </xf>
    <xf numFmtId="4" fontId="64" fillId="18" borderId="84" applyNumberFormat="0" applyProtection="0">
      <alignment vertical="center"/>
    </xf>
    <xf numFmtId="5" fontId="55" fillId="0" borderId="133">
      <alignment horizontal="left" vertical="top"/>
    </xf>
    <xf numFmtId="165"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 fontId="38" fillId="28" borderId="84" applyNumberFormat="0" applyProtection="0">
      <alignment horizontal="right" vertical="center"/>
    </xf>
    <xf numFmtId="0" fontId="104" fillId="43" borderId="50" applyNumberFormat="0" applyAlignment="0" applyProtection="0"/>
    <xf numFmtId="165" fontId="11" fillId="0" borderId="0" applyFont="0" applyFill="0" applyBorder="0" applyAlignment="0" applyProtection="0"/>
    <xf numFmtId="165" fontId="1" fillId="0" borderId="0" applyFont="0" applyFill="0" applyBorder="0" applyAlignment="0" applyProtection="0"/>
    <xf numFmtId="165" fontId="43" fillId="0" borderId="0" applyFont="0" applyFill="0" applyBorder="0" applyAlignment="0" applyProtection="0"/>
    <xf numFmtId="6" fontId="79" fillId="36" borderId="133"/>
    <xf numFmtId="5" fontId="77" fillId="30" borderId="133">
      <alignment vertical="top"/>
    </xf>
    <xf numFmtId="5" fontId="36" fillId="0" borderId="86" applyAlignment="0" applyProtection="0"/>
    <xf numFmtId="4" fontId="38" fillId="25" borderId="84" applyNumberFormat="0" applyProtection="0">
      <alignment horizontal="right" vertical="center"/>
    </xf>
    <xf numFmtId="4" fontId="38" fillId="24" borderId="84" applyNumberFormat="0" applyProtection="0">
      <alignment horizontal="right" vertical="center"/>
    </xf>
    <xf numFmtId="4" fontId="38" fillId="23" borderId="84" applyNumberFormat="0" applyProtection="0">
      <alignment horizontal="right" vertical="center"/>
    </xf>
    <xf numFmtId="4" fontId="38" fillId="22" borderId="84" applyNumberFormat="0" applyProtection="0">
      <alignment horizontal="right" vertical="center"/>
    </xf>
    <xf numFmtId="4" fontId="38" fillId="21" borderId="84" applyNumberFormat="0" applyProtection="0">
      <alignment horizontal="right" vertical="center"/>
    </xf>
    <xf numFmtId="4" fontId="38" fillId="20" borderId="84" applyNumberFormat="0" applyProtection="0">
      <alignment horizontal="right" vertical="center"/>
    </xf>
    <xf numFmtId="0" fontId="1" fillId="19" borderId="84" applyNumberFormat="0" applyProtection="0">
      <alignment horizontal="left" vertical="center" indent="1"/>
    </xf>
    <xf numFmtId="4" fontId="38" fillId="18" borderId="84" applyNumberFormat="0" applyProtection="0">
      <alignment horizontal="left" vertical="center" indent="1"/>
    </xf>
    <xf numFmtId="4" fontId="64" fillId="18" borderId="84" applyNumberFormat="0" applyProtection="0">
      <alignment vertical="center"/>
    </xf>
    <xf numFmtId="4" fontId="38" fillId="18" borderId="84" applyNumberFormat="0" applyProtection="0">
      <alignment vertical="center"/>
    </xf>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4" fontId="64" fillId="18" borderId="84" applyNumberFormat="0" applyProtection="0">
      <alignment vertical="center"/>
    </xf>
    <xf numFmtId="4" fontId="38" fillId="28" borderId="84" applyNumberFormat="0" applyProtection="0">
      <alignment horizontal="right" vertical="center"/>
    </xf>
    <xf numFmtId="4" fontId="38" fillId="30" borderId="84" applyNumberFormat="0" applyProtection="0">
      <alignment horizontal="right" vertical="center"/>
    </xf>
    <xf numFmtId="165" fontId="19"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43" fillId="0" borderId="0" applyFont="0" applyFill="0" applyBorder="0" applyAlignment="0" applyProtection="0"/>
    <xf numFmtId="165" fontId="18" fillId="0" borderId="0" applyFont="0" applyFill="0" applyBorder="0" applyAlignment="0" applyProtection="0"/>
    <xf numFmtId="4" fontId="5" fillId="59" borderId="55" applyNumberFormat="0" applyProtection="0">
      <alignment horizontal="right" vertical="center"/>
    </xf>
    <xf numFmtId="0" fontId="5" fillId="34" borderId="55" applyNumberFormat="0" applyProtection="0">
      <alignment horizontal="left" vertical="center" indent="1"/>
    </xf>
    <xf numFmtId="0" fontId="5" fillId="44" borderId="81" applyNumberFormat="0" applyProtection="0">
      <alignment horizontal="left" vertical="top" indent="1"/>
    </xf>
    <xf numFmtId="0" fontId="5" fillId="59" borderId="81" applyNumberFormat="0" applyProtection="0">
      <alignment horizontal="left" vertical="top" indent="1"/>
    </xf>
    <xf numFmtId="0" fontId="5" fillId="60" borderId="81" applyNumberFormat="0" applyProtection="0">
      <alignment horizontal="left" vertical="top" indent="1"/>
    </xf>
    <xf numFmtId="4" fontId="5" fillId="50" borderId="55" applyNumberFormat="0" applyProtection="0">
      <alignment horizontal="left" vertical="center" indent="1"/>
    </xf>
    <xf numFmtId="4" fontId="5" fillId="0" borderId="55" applyNumberFormat="0" applyProtection="0">
      <alignment horizontal="right" vertical="center"/>
    </xf>
    <xf numFmtId="0" fontId="109" fillId="0" borderId="85" applyNumberFormat="0" applyFill="0" applyAlignment="0" applyProtection="0"/>
    <xf numFmtId="0" fontId="1" fillId="58" borderId="58" applyNumberFormat="0" applyFont="0" applyAlignment="0" applyProtection="0"/>
    <xf numFmtId="4" fontId="38" fillId="30" borderId="84" applyNumberFormat="0" applyProtection="0">
      <alignment horizontal="right" vertical="center"/>
    </xf>
    <xf numFmtId="4" fontId="38" fillId="28" borderId="84" applyNumberFormat="0" applyProtection="0">
      <alignment horizontal="right" vertical="center"/>
    </xf>
    <xf numFmtId="165" fontId="29"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3" fillId="0" borderId="0" applyFont="0" applyFill="0" applyBorder="0" applyAlignment="0" applyProtection="0"/>
    <xf numFmtId="165" fontId="29" fillId="0" borderId="0" applyFont="0" applyFill="0" applyBorder="0" applyAlignment="0" applyProtection="0"/>
    <xf numFmtId="5" fontId="55" fillId="0" borderId="133">
      <alignment horizontal="left" vertical="top"/>
    </xf>
    <xf numFmtId="6" fontId="79" fillId="36" borderId="133"/>
    <xf numFmtId="4" fontId="38" fillId="18" borderId="84" applyNumberFormat="0" applyProtection="0">
      <alignment vertical="center"/>
    </xf>
    <xf numFmtId="4" fontId="64" fillId="18" borderId="84" applyNumberFormat="0" applyProtection="0">
      <alignment vertical="center"/>
    </xf>
    <xf numFmtId="4" fontId="38" fillId="18" borderId="84" applyNumberFormat="0" applyProtection="0">
      <alignment horizontal="left" vertical="center" indent="1"/>
    </xf>
    <xf numFmtId="4" fontId="38" fillId="21" borderId="84" applyNumberFormat="0" applyProtection="0">
      <alignment horizontal="right" vertical="center"/>
    </xf>
    <xf numFmtId="4" fontId="38" fillId="22" borderId="84" applyNumberFormat="0" applyProtection="0">
      <alignment horizontal="right" vertical="center"/>
    </xf>
    <xf numFmtId="4" fontId="38" fillId="23" borderId="84" applyNumberFormat="0" applyProtection="0">
      <alignment horizontal="right" vertical="center"/>
    </xf>
    <xf numFmtId="4" fontId="38" fillId="24" borderId="84" applyNumberFormat="0" applyProtection="0">
      <alignment horizontal="right" vertical="center"/>
    </xf>
    <xf numFmtId="4" fontId="38" fillId="25" borderId="84" applyNumberFormat="0" applyProtection="0">
      <alignment horizontal="right" vertical="center"/>
    </xf>
    <xf numFmtId="4" fontId="38" fillId="26" borderId="84" applyNumberFormat="0" applyProtection="0">
      <alignment horizontal="right" vertical="center"/>
    </xf>
    <xf numFmtId="4" fontId="38" fillId="27" borderId="84" applyNumberFormat="0" applyProtection="0">
      <alignment horizontal="right" vertical="center"/>
    </xf>
    <xf numFmtId="4" fontId="65" fillId="29" borderId="84" applyNumberFormat="0" applyProtection="0">
      <alignment horizontal="left" vertical="center" indent="1"/>
    </xf>
    <xf numFmtId="0" fontId="1" fillId="19" borderId="84" applyNumberFormat="0" applyProtection="0">
      <alignment horizontal="left" vertical="center" indent="1"/>
    </xf>
    <xf numFmtId="4" fontId="38" fillId="30" borderId="84" applyNumberFormat="0" applyProtection="0">
      <alignment horizontal="left" vertical="center" indent="1"/>
    </xf>
    <xf numFmtId="4" fontId="38" fillId="32" borderId="84" applyNumberFormat="0" applyProtection="0">
      <alignment horizontal="left" vertical="center" indent="1"/>
    </xf>
    <xf numFmtId="0" fontId="1" fillId="33" borderId="84" applyNumberFormat="0" applyProtection="0">
      <alignment horizontal="left" vertical="center" indent="1"/>
    </xf>
    <xf numFmtId="4" fontId="64" fillId="3" borderId="84" applyNumberFormat="0" applyProtection="0">
      <alignment vertical="center"/>
    </xf>
    <xf numFmtId="4" fontId="38" fillId="3" borderId="84" applyNumberFormat="0" applyProtection="0">
      <alignment horizontal="left" vertical="center" indent="1"/>
    </xf>
    <xf numFmtId="4" fontId="38" fillId="3" borderId="84" applyNumberFormat="0" applyProtection="0">
      <alignment horizontal="left" vertical="center" indent="1"/>
    </xf>
    <xf numFmtId="0" fontId="1" fillId="2" borderId="84" applyNumberFormat="0" applyProtection="0">
      <alignment horizontal="left" vertical="center" indent="1"/>
    </xf>
    <xf numFmtId="4" fontId="64" fillId="30" borderId="84" applyNumberFormat="0" applyProtection="0">
      <alignment horizontal="right" vertical="center"/>
    </xf>
    <xf numFmtId="164"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 fontId="38" fillId="3" borderId="84" applyNumberFormat="0" applyProtection="0">
      <alignment vertical="center"/>
    </xf>
    <xf numFmtId="4" fontId="64" fillId="30" borderId="84" applyNumberFormat="0" applyProtection="0">
      <alignment horizontal="righ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4" fontId="68" fillId="30" borderId="84" applyNumberFormat="0" applyProtection="0">
      <alignment horizontal="right" vertical="center"/>
    </xf>
    <xf numFmtId="165" fontId="18" fillId="0" borderId="0" applyFont="0" applyFill="0" applyBorder="0" applyAlignment="0" applyProtection="0"/>
    <xf numFmtId="165" fontId="29"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97" fillId="34" borderId="50" applyNumberFormat="0" applyAlignment="0" applyProtection="0"/>
    <xf numFmtId="4" fontId="68" fillId="30" borderId="84" applyNumberFormat="0" applyProtection="0">
      <alignment horizontal="righ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4" fontId="64" fillId="30" borderId="84" applyNumberFormat="0" applyProtection="0">
      <alignment horizontal="right" vertical="center"/>
    </xf>
    <xf numFmtId="0" fontId="1" fillId="2" borderId="84" applyNumberFormat="0" applyProtection="0">
      <alignment horizontal="left" vertical="center" indent="1"/>
    </xf>
    <xf numFmtId="4" fontId="38" fillId="3" borderId="84" applyNumberFormat="0" applyProtection="0">
      <alignment horizontal="left" vertical="center" indent="1"/>
    </xf>
    <xf numFmtId="4" fontId="38" fillId="3" borderId="84" applyNumberFormat="0" applyProtection="0">
      <alignment horizontal="left" vertical="center" indent="1"/>
    </xf>
    <xf numFmtId="4" fontId="64" fillId="3" borderId="84" applyNumberFormat="0" applyProtection="0">
      <alignment vertical="center"/>
    </xf>
    <xf numFmtId="4" fontId="38" fillId="3" borderId="84" applyNumberFormat="0" applyProtection="0">
      <alignment vertical="center"/>
    </xf>
    <xf numFmtId="0" fontId="1" fillId="33" borderId="84" applyNumberFormat="0" applyProtection="0">
      <alignment horizontal="left" vertical="center" indent="1"/>
    </xf>
    <xf numFmtId="0" fontId="1" fillId="33" borderId="84" applyNumberFormat="0" applyProtection="0">
      <alignment horizontal="left" vertical="center" indent="1"/>
    </xf>
    <xf numFmtId="0" fontId="1" fillId="19" borderId="84" applyNumberFormat="0" applyProtection="0">
      <alignment horizontal="left" vertical="center" indent="1"/>
    </xf>
    <xf numFmtId="4" fontId="65" fillId="29" borderId="84" applyNumberFormat="0" applyProtection="0">
      <alignment horizontal="left" vertical="center" indent="1"/>
    </xf>
    <xf numFmtId="165" fontId="29" fillId="0" borderId="0" applyFont="0" applyFill="0" applyBorder="0" applyAlignment="0" applyProtection="0"/>
    <xf numFmtId="5" fontId="55" fillId="0" borderId="133">
      <alignment horizontal="left" vertical="top"/>
    </xf>
    <xf numFmtId="4" fontId="68" fillId="30" borderId="84" applyNumberFormat="0" applyProtection="0">
      <alignment horizontal="right" vertical="center"/>
    </xf>
    <xf numFmtId="4" fontId="38" fillId="3" borderId="84" applyNumberFormat="0" applyProtection="0">
      <alignment vertical="center"/>
    </xf>
    <xf numFmtId="0" fontId="1" fillId="19" borderId="84" applyNumberFormat="0" applyProtection="0">
      <alignment horizontal="left" vertical="center" indent="1"/>
    </xf>
    <xf numFmtId="4" fontId="64" fillId="30" borderId="84" applyNumberFormat="0" applyProtection="0">
      <alignment horizontal="right" vertical="center"/>
    </xf>
    <xf numFmtId="0" fontId="1" fillId="2" borderId="84" applyNumberFormat="0" applyProtection="0">
      <alignment horizontal="left" vertical="center" indent="1"/>
    </xf>
    <xf numFmtId="0" fontId="1" fillId="33" borderId="84" applyNumberFormat="0" applyProtection="0">
      <alignment horizontal="left" vertical="center" indent="1"/>
    </xf>
    <xf numFmtId="0" fontId="1" fillId="33" borderId="84" applyNumberFormat="0" applyProtection="0">
      <alignment horizontal="left" vertical="center" indent="1"/>
    </xf>
    <xf numFmtId="0" fontId="1" fillId="32" borderId="84" applyNumberFormat="0" applyProtection="0">
      <alignment horizontal="left" vertical="center" indent="1"/>
    </xf>
    <xf numFmtId="0" fontId="1" fillId="32" borderId="84" applyNumberFormat="0" applyProtection="0">
      <alignment horizontal="left" vertical="center" indent="1"/>
    </xf>
    <xf numFmtId="0" fontId="1" fillId="19" borderId="84" applyNumberFormat="0" applyProtection="0">
      <alignment horizontal="left" vertical="center" indent="1"/>
    </xf>
    <xf numFmtId="4" fontId="65" fillId="29" borderId="84" applyNumberFormat="0" applyProtection="0">
      <alignment horizontal="left" vertical="center" indent="1"/>
    </xf>
    <xf numFmtId="4" fontId="38" fillId="27" borderId="84" applyNumberFormat="0" applyProtection="0">
      <alignment horizontal="right" vertical="center"/>
    </xf>
    <xf numFmtId="4" fontId="38" fillId="26" borderId="84" applyNumberFormat="0" applyProtection="0">
      <alignment horizontal="right" vertical="center"/>
    </xf>
    <xf numFmtId="0" fontId="1" fillId="32" borderId="84" applyNumberFormat="0" applyProtection="0">
      <alignment horizontal="left" vertical="center" indent="1"/>
    </xf>
    <xf numFmtId="4" fontId="38" fillId="21" borderId="84" applyNumberFormat="0" applyProtection="0">
      <alignment horizontal="right" vertical="center"/>
    </xf>
    <xf numFmtId="165" fontId="18" fillId="0" borderId="0" applyFont="0" applyFill="0" applyBorder="0" applyAlignment="0" applyProtection="0"/>
    <xf numFmtId="165" fontId="18" fillId="0" borderId="0" applyFont="0" applyFill="0" applyBorder="0" applyAlignment="0" applyProtection="0"/>
    <xf numFmtId="165" fontId="19" fillId="0" borderId="0" applyFont="0" applyFill="0" applyBorder="0" applyAlignment="0" applyProtection="0"/>
    <xf numFmtId="4" fontId="38" fillId="30" borderId="84" applyNumberFormat="0" applyProtection="0">
      <alignment horizontal="right" vertical="center"/>
    </xf>
    <xf numFmtId="4" fontId="38" fillId="28" borderId="84" applyNumberFormat="0" applyProtection="0">
      <alignment horizontal="right" vertical="center"/>
    </xf>
    <xf numFmtId="0" fontId="2" fillId="0" borderId="57">
      <alignment horizontal="left" vertical="center"/>
    </xf>
    <xf numFmtId="165" fontId="1" fillId="0" borderId="0" applyFont="0" applyFill="0" applyBorder="0" applyAlignment="0" applyProtection="0"/>
    <xf numFmtId="165" fontId="1" fillId="0" borderId="0" applyFont="0" applyFill="0" applyBorder="0" applyAlignment="0" applyProtection="0"/>
    <xf numFmtId="165" fontId="43" fillId="0" borderId="0" applyFont="0" applyFill="0" applyBorder="0" applyAlignment="0" applyProtection="0"/>
    <xf numFmtId="4" fontId="38" fillId="18" borderId="84" applyNumberFormat="0" applyProtection="0">
      <alignment vertical="center"/>
    </xf>
    <xf numFmtId="4" fontId="64" fillId="18" borderId="84" applyNumberFormat="0" applyProtection="0">
      <alignment vertical="center"/>
    </xf>
    <xf numFmtId="4" fontId="38" fillId="18" borderId="84" applyNumberFormat="0" applyProtection="0">
      <alignment horizontal="left" vertical="center" indent="1"/>
    </xf>
    <xf numFmtId="5" fontId="55" fillId="0" borderId="133">
      <alignment horizontal="left" vertical="top"/>
    </xf>
    <xf numFmtId="6" fontId="79" fillId="36" borderId="133"/>
    <xf numFmtId="0" fontId="1" fillId="19" borderId="84" applyNumberFormat="0" applyProtection="0">
      <alignment horizontal="left" vertical="center" indent="1"/>
    </xf>
    <xf numFmtId="5" fontId="77" fillId="30" borderId="133">
      <alignment vertical="top"/>
    </xf>
    <xf numFmtId="4" fontId="38" fillId="20" borderId="84" applyNumberFormat="0" applyProtection="0">
      <alignment horizontal="right" vertical="center"/>
    </xf>
    <xf numFmtId="4" fontId="38" fillId="21" borderId="84" applyNumberFormat="0" applyProtection="0">
      <alignment horizontal="right" vertical="center"/>
    </xf>
    <xf numFmtId="4" fontId="38" fillId="22" borderId="84" applyNumberFormat="0" applyProtection="0">
      <alignment horizontal="right" vertical="center"/>
    </xf>
    <xf numFmtId="0" fontId="1" fillId="32" borderId="84" applyNumberFormat="0" applyProtection="0">
      <alignment horizontal="left" vertical="center" indent="1"/>
    </xf>
    <xf numFmtId="4" fontId="68" fillId="30" borderId="84" applyNumberFormat="0" applyProtection="0">
      <alignment horizontal="righ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4" fontId="64" fillId="30" borderId="84" applyNumberFormat="0" applyProtection="0">
      <alignment horizontal="right" vertical="center"/>
    </xf>
    <xf numFmtId="4" fontId="38" fillId="30" borderId="84" applyNumberFormat="0" applyProtection="0">
      <alignment horizontal="right" vertical="center"/>
    </xf>
    <xf numFmtId="4" fontId="38" fillId="3" borderId="84" applyNumberFormat="0" applyProtection="0">
      <alignment horizontal="left" vertical="center" indent="1"/>
    </xf>
    <xf numFmtId="4" fontId="38" fillId="3" borderId="84" applyNumberFormat="0" applyProtection="0">
      <alignment horizontal="left" vertical="center" indent="1"/>
    </xf>
    <xf numFmtId="4" fontId="64" fillId="3" borderId="84" applyNumberFormat="0" applyProtection="0">
      <alignment vertical="center"/>
    </xf>
    <xf numFmtId="4" fontId="38" fillId="3" borderId="84" applyNumberFormat="0" applyProtection="0">
      <alignmen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0" fontId="1" fillId="33" borderId="84" applyNumberFormat="0" applyProtection="0">
      <alignment horizontal="left" vertical="center" indent="1"/>
    </xf>
    <xf numFmtId="0" fontId="1" fillId="32" borderId="84" applyNumberFormat="0" applyProtection="0">
      <alignment horizontal="left" vertical="center" indent="1"/>
    </xf>
    <xf numFmtId="0" fontId="1" fillId="32" borderId="84" applyNumberFormat="0" applyProtection="0">
      <alignment horizontal="left" vertical="center" indent="1"/>
    </xf>
    <xf numFmtId="4" fontId="38" fillId="32" borderId="84" applyNumberFormat="0" applyProtection="0">
      <alignment horizontal="left" vertical="center" indent="1"/>
    </xf>
    <xf numFmtId="4" fontId="38" fillId="30" borderId="84" applyNumberFormat="0" applyProtection="0">
      <alignment horizontal="left" vertical="center" indent="1"/>
    </xf>
    <xf numFmtId="0" fontId="1" fillId="19" borderId="84" applyNumberFormat="0" applyProtection="0">
      <alignment horizontal="left" vertical="center" indent="1"/>
    </xf>
    <xf numFmtId="4" fontId="38" fillId="32" borderId="84" applyNumberFormat="0" applyProtection="0">
      <alignment horizontal="left" vertical="center" indent="1"/>
    </xf>
    <xf numFmtId="0" fontId="1" fillId="19" borderId="84" applyNumberFormat="0" applyProtection="0">
      <alignment horizontal="left" vertical="center" indent="1"/>
    </xf>
    <xf numFmtId="165" fontId="18" fillId="0" borderId="0" applyFont="0" applyFill="0" applyBorder="0" applyAlignment="0" applyProtection="0"/>
    <xf numFmtId="4" fontId="38" fillId="25" borderId="84" applyNumberFormat="0" applyProtection="0">
      <alignment horizontal="right" vertical="center"/>
    </xf>
    <xf numFmtId="187" fontId="50" fillId="0" borderId="86"/>
    <xf numFmtId="164" fontId="1" fillId="0" borderId="0" applyFont="0" applyFill="0" applyBorder="0" applyAlignment="0" applyProtection="0"/>
    <xf numFmtId="4" fontId="38" fillId="23" borderId="84" applyNumberFormat="0" applyProtection="0">
      <alignment horizontal="right" vertical="center"/>
    </xf>
    <xf numFmtId="0" fontId="1" fillId="32" borderId="84" applyNumberFormat="0" applyProtection="0">
      <alignment horizontal="left" vertical="center" indent="1"/>
    </xf>
    <xf numFmtId="0" fontId="1" fillId="32" borderId="84" applyNumberFormat="0" applyProtection="0">
      <alignment horizontal="left" vertical="center" indent="1"/>
    </xf>
    <xf numFmtId="165" fontId="1" fillId="0" borderId="0" applyFont="0" applyFill="0" applyBorder="0" applyAlignment="0" applyProtection="0"/>
    <xf numFmtId="0" fontId="1" fillId="19" borderId="84" applyNumberFormat="0" applyProtection="0">
      <alignment horizontal="left" vertical="center" indent="1"/>
    </xf>
    <xf numFmtId="165" fontId="1" fillId="0" borderId="0" applyFont="0" applyFill="0" applyBorder="0" applyAlignment="0" applyProtection="0"/>
    <xf numFmtId="165" fontId="18" fillId="0" borderId="0" applyFont="0" applyFill="0" applyBorder="0" applyAlignment="0" applyProtection="0"/>
    <xf numFmtId="4" fontId="38" fillId="3" borderId="84" applyNumberFormat="0" applyProtection="0">
      <alignment horizontal="left" vertical="center" indent="1"/>
    </xf>
    <xf numFmtId="0" fontId="1" fillId="2" borderId="84" applyNumberFormat="0" applyProtection="0">
      <alignment horizontal="left" vertical="center" indent="1"/>
    </xf>
    <xf numFmtId="164" fontId="1" fillId="0" borderId="0" applyFont="0" applyFill="0" applyBorder="0" applyAlignment="0" applyProtection="0"/>
    <xf numFmtId="0" fontId="104" fillId="43" borderId="50" applyNumberFormat="0" applyAlignment="0" applyProtection="0"/>
    <xf numFmtId="4" fontId="38" fillId="20" borderId="84" applyNumberFormat="0" applyProtection="0">
      <alignment horizontal="right" vertical="center"/>
    </xf>
    <xf numFmtId="4" fontId="68" fillId="30" borderId="84" applyNumberFormat="0" applyProtection="0">
      <alignment horizontal="right" vertical="center"/>
    </xf>
    <xf numFmtId="4" fontId="38" fillId="3" borderId="84" applyNumberFormat="0" applyProtection="0">
      <alignment horizontal="left" vertical="center" indent="1"/>
    </xf>
    <xf numFmtId="0" fontId="1" fillId="2" borderId="84" applyNumberFormat="0" applyProtection="0">
      <alignment horizontal="left" vertical="center" indent="1"/>
    </xf>
    <xf numFmtId="165" fontId="11" fillId="0" borderId="0" applyFont="0" applyFill="0" applyBorder="0" applyAlignment="0" applyProtection="0"/>
    <xf numFmtId="165" fontId="11" fillId="0" borderId="0" applyFont="0" applyFill="0" applyBorder="0" applyAlignment="0" applyProtection="0"/>
    <xf numFmtId="0" fontId="1" fillId="33" borderId="84" applyNumberFormat="0" applyProtection="0">
      <alignment horizontal="left" vertical="center" indent="1"/>
    </xf>
    <xf numFmtId="0" fontId="1" fillId="19" borderId="84" applyNumberFormat="0" applyProtection="0">
      <alignment horizontal="left" vertical="center" indent="1"/>
    </xf>
    <xf numFmtId="5" fontId="77" fillId="30" borderId="133">
      <alignment vertical="top"/>
    </xf>
    <xf numFmtId="165" fontId="94" fillId="0" borderId="0" applyFont="0" applyFill="0" applyBorder="0" applyAlignment="0" applyProtection="0"/>
    <xf numFmtId="165" fontId="1" fillId="0" borderId="0" applyFont="0" applyFill="0" applyBorder="0" applyAlignment="0" applyProtection="0"/>
    <xf numFmtId="0" fontId="1" fillId="33" borderId="84" applyNumberFormat="0" applyProtection="0">
      <alignment horizontal="left" vertical="center" indent="1"/>
    </xf>
    <xf numFmtId="165" fontId="29"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4" fontId="38" fillId="22" borderId="84" applyNumberFormat="0" applyProtection="0">
      <alignment horizontal="right" vertical="center"/>
    </xf>
    <xf numFmtId="165" fontId="43" fillId="0" borderId="0" applyFont="0" applyFill="0" applyBorder="0" applyAlignment="0" applyProtection="0"/>
    <xf numFmtId="6" fontId="79" fillId="36" borderId="133"/>
    <xf numFmtId="4" fontId="38" fillId="18" borderId="84" applyNumberFormat="0" applyProtection="0">
      <alignment vertical="center"/>
    </xf>
    <xf numFmtId="4" fontId="38" fillId="30" borderId="84" applyNumberFormat="0" applyProtection="0">
      <alignment horizontal="left" vertical="center" indent="1"/>
    </xf>
    <xf numFmtId="4" fontId="38" fillId="30" borderId="84" applyNumberFormat="0" applyProtection="0">
      <alignment horizontal="right" vertical="center"/>
    </xf>
    <xf numFmtId="0" fontId="1" fillId="32" borderId="84" applyNumberFormat="0" applyProtection="0">
      <alignment horizontal="left" vertical="center" indent="1"/>
    </xf>
    <xf numFmtId="4" fontId="38" fillId="26" borderId="84" applyNumberFormat="0" applyProtection="0">
      <alignment horizontal="right" vertical="center"/>
    </xf>
    <xf numFmtId="165" fontId="1" fillId="0" borderId="0" applyFont="0" applyFill="0" applyBorder="0" applyAlignment="0" applyProtection="0"/>
    <xf numFmtId="0" fontId="2" fillId="0" borderId="57">
      <alignment horizontal="left" vertical="center"/>
    </xf>
    <xf numFmtId="0" fontId="1" fillId="19" borderId="84" applyNumberFormat="0" applyProtection="0">
      <alignment horizontal="left" vertical="center" indent="1"/>
    </xf>
    <xf numFmtId="0" fontId="1" fillId="58" borderId="58" applyNumberFormat="0" applyFont="0" applyAlignment="0" applyProtection="0"/>
    <xf numFmtId="5" fontId="55" fillId="0" borderId="133">
      <alignment horizontal="left" vertical="top"/>
    </xf>
    <xf numFmtId="0" fontId="1" fillId="19" borderId="84" applyNumberFormat="0" applyProtection="0">
      <alignment horizontal="left" vertical="center" indent="1"/>
    </xf>
    <xf numFmtId="4" fontId="38" fillId="32" borderId="84" applyNumberFormat="0" applyProtection="0">
      <alignment horizontal="left" vertical="center" indent="1"/>
    </xf>
    <xf numFmtId="0" fontId="1" fillId="32" borderId="84" applyNumberFormat="0" applyProtection="0">
      <alignment horizontal="left" vertical="center" indent="1"/>
    </xf>
    <xf numFmtId="0" fontId="1" fillId="2" borderId="84" applyNumberFormat="0" applyProtection="0">
      <alignment horizontal="left" vertical="center" indent="1"/>
    </xf>
    <xf numFmtId="4" fontId="38" fillId="3" borderId="84" applyNumberFormat="0" applyProtection="0">
      <alignment horizontal="left" vertical="center" indent="1"/>
    </xf>
    <xf numFmtId="0" fontId="107" fillId="34" borderId="84" applyNumberFormat="0" applyAlignment="0" applyProtection="0"/>
    <xf numFmtId="0" fontId="109" fillId="0" borderId="85" applyNumberFormat="0" applyFill="0" applyAlignment="0" applyProtection="0"/>
    <xf numFmtId="4" fontId="38" fillId="3" borderId="84" applyNumberFormat="0" applyProtection="0">
      <alignment vertical="center"/>
    </xf>
    <xf numFmtId="4" fontId="38" fillId="26" borderId="84" applyNumberFormat="0" applyProtection="0">
      <alignment horizontal="right" vertical="center"/>
    </xf>
    <xf numFmtId="4" fontId="5" fillId="59" borderId="55" applyNumberFormat="0" applyProtection="0">
      <alignment horizontal="right" vertical="center"/>
    </xf>
    <xf numFmtId="0" fontId="5" fillId="34" borderId="55" applyNumberFormat="0" applyProtection="0">
      <alignment horizontal="left" vertical="center" indent="1"/>
    </xf>
    <xf numFmtId="0" fontId="5" fillId="44" borderId="81" applyNumberFormat="0" applyProtection="0">
      <alignment horizontal="left" vertical="top" indent="1"/>
    </xf>
    <xf numFmtId="0" fontId="5" fillId="59" borderId="81" applyNumberFormat="0" applyProtection="0">
      <alignment horizontal="left" vertical="top" indent="1"/>
    </xf>
    <xf numFmtId="0" fontId="5" fillId="60" borderId="81" applyNumberFormat="0" applyProtection="0">
      <alignment horizontal="left" vertical="top" indent="1"/>
    </xf>
    <xf numFmtId="4" fontId="5" fillId="50" borderId="55" applyNumberFormat="0" applyProtection="0">
      <alignment horizontal="left" vertical="center" indent="1"/>
    </xf>
    <xf numFmtId="4" fontId="111" fillId="15" borderId="55" applyNumberFormat="0" applyProtection="0">
      <alignment horizontal="right" vertical="center"/>
    </xf>
    <xf numFmtId="4" fontId="5" fillId="0" borderId="55" applyNumberFormat="0" applyProtection="0">
      <alignment horizontal="right" vertical="center"/>
    </xf>
    <xf numFmtId="4" fontId="38" fillId="25" borderId="84" applyNumberFormat="0" applyProtection="0">
      <alignment horizontal="right" vertical="center"/>
    </xf>
    <xf numFmtId="6" fontId="79" fillId="36" borderId="133"/>
    <xf numFmtId="5" fontId="77" fillId="30" borderId="133">
      <alignment vertical="top"/>
    </xf>
    <xf numFmtId="0" fontId="1" fillId="33" borderId="84" applyNumberFormat="0" applyProtection="0">
      <alignment horizontal="left" vertical="center" indent="1"/>
    </xf>
    <xf numFmtId="0" fontId="1" fillId="2" borderId="84" applyNumberFormat="0" applyProtection="0">
      <alignment horizontal="left" vertical="center" indent="1"/>
    </xf>
    <xf numFmtId="0" fontId="1" fillId="19" borderId="84" applyNumberFormat="0" applyProtection="0">
      <alignment horizontal="left" vertical="center" indent="1"/>
    </xf>
    <xf numFmtId="0" fontId="1" fillId="19" borderId="84" applyNumberFormat="0" applyProtection="0">
      <alignment horizontal="left" vertical="center" indent="1"/>
    </xf>
    <xf numFmtId="4" fontId="38" fillId="3" borderId="84" applyNumberFormat="0" applyProtection="0">
      <alignment vertical="center"/>
    </xf>
    <xf numFmtId="4" fontId="64" fillId="3" borderId="84" applyNumberFormat="0" applyProtection="0">
      <alignment vertical="center"/>
    </xf>
    <xf numFmtId="4" fontId="38" fillId="3" borderId="84" applyNumberFormat="0" applyProtection="0">
      <alignment horizontal="left" vertical="center" indent="1"/>
    </xf>
    <xf numFmtId="4" fontId="38" fillId="30" borderId="84" applyNumberFormat="0" applyProtection="0">
      <alignment horizontal="right" vertical="center"/>
    </xf>
    <xf numFmtId="4" fontId="64" fillId="30" borderId="84" applyNumberFormat="0" applyProtection="0">
      <alignment horizontal="right" vertical="center"/>
    </xf>
    <xf numFmtId="0" fontId="1" fillId="19" borderId="84" applyNumberFormat="0" applyProtection="0">
      <alignment horizontal="left" vertical="center" indent="1"/>
    </xf>
    <xf numFmtId="4" fontId="68" fillId="30" borderId="84" applyNumberFormat="0" applyProtection="0">
      <alignment horizontal="right" vertical="center"/>
    </xf>
    <xf numFmtId="4" fontId="64" fillId="3" borderId="84" applyNumberFormat="0" applyProtection="0">
      <alignment vertical="center"/>
    </xf>
    <xf numFmtId="0" fontId="1" fillId="33" borderId="84" applyNumberFormat="0" applyProtection="0">
      <alignment horizontal="left" vertical="center" indent="1"/>
    </xf>
    <xf numFmtId="4" fontId="38" fillId="18" borderId="84" applyNumberFormat="0" applyProtection="0">
      <alignment horizontal="left" vertical="center" indent="1"/>
    </xf>
    <xf numFmtId="0" fontId="1" fillId="19" borderId="84" applyNumberFormat="0" applyProtection="0">
      <alignment horizontal="left" vertical="center" indent="1"/>
    </xf>
    <xf numFmtId="4" fontId="38" fillId="20" borderId="84" applyNumberFormat="0" applyProtection="0">
      <alignment horizontal="right" vertical="center"/>
    </xf>
    <xf numFmtId="4" fontId="38" fillId="21" borderId="84" applyNumberFormat="0" applyProtection="0">
      <alignment horizontal="right" vertical="center"/>
    </xf>
    <xf numFmtId="4" fontId="38" fillId="22" borderId="84" applyNumberFormat="0" applyProtection="0">
      <alignment horizontal="right" vertical="center"/>
    </xf>
    <xf numFmtId="0" fontId="2" fillId="0" borderId="57">
      <alignment horizontal="left" vertical="center"/>
    </xf>
    <xf numFmtId="4" fontId="38" fillId="23" borderId="84" applyNumberFormat="0" applyProtection="0">
      <alignment horizontal="right" vertical="center"/>
    </xf>
    <xf numFmtId="4" fontId="38" fillId="30" borderId="84" applyNumberFormat="0" applyProtection="0">
      <alignment horizontal="left" vertical="center" indent="1"/>
    </xf>
    <xf numFmtId="4" fontId="38" fillId="18" borderId="84" applyNumberFormat="0" applyProtection="0">
      <alignment vertical="center"/>
    </xf>
    <xf numFmtId="4" fontId="64" fillId="18" borderId="84" applyNumberFormat="0" applyProtection="0">
      <alignment vertical="center"/>
    </xf>
    <xf numFmtId="4" fontId="38" fillId="18" borderId="84" applyNumberFormat="0" applyProtection="0">
      <alignment horizontal="left" vertical="center" indent="1"/>
    </xf>
    <xf numFmtId="165" fontId="1" fillId="0" borderId="0" applyFont="0" applyFill="0" applyBorder="0" applyAlignment="0" applyProtection="0"/>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5" fillId="44" borderId="81" applyNumberFormat="0" applyProtection="0">
      <alignment horizontal="left" vertical="top" indent="1"/>
    </xf>
    <xf numFmtId="0" fontId="5" fillId="60" borderId="81" applyNumberFormat="0" applyProtection="0">
      <alignment horizontal="left" vertical="top" indent="1"/>
    </xf>
    <xf numFmtId="4" fontId="38" fillId="28" borderId="84" applyNumberFormat="0" applyProtection="0">
      <alignment horizontal="right" vertical="center"/>
    </xf>
    <xf numFmtId="4" fontId="38" fillId="27" borderId="84" applyNumberFormat="0" applyProtection="0">
      <alignment horizontal="right" vertical="center"/>
    </xf>
    <xf numFmtId="4" fontId="38" fillId="24" borderId="84" applyNumberFormat="0" applyProtection="0">
      <alignment horizontal="right" vertical="center"/>
    </xf>
    <xf numFmtId="4" fontId="65" fillId="29" borderId="84" applyNumberFormat="0" applyProtection="0">
      <alignment horizontal="left" vertical="center" indent="1"/>
    </xf>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94" fillId="58" borderId="58" applyNumberFormat="0" applyFont="0" applyAlignment="0" applyProtection="0"/>
    <xf numFmtId="0" fontId="5" fillId="44" borderId="81" applyNumberFormat="0" applyProtection="0">
      <alignment horizontal="left" vertical="top" indent="1"/>
    </xf>
    <xf numFmtId="0" fontId="5" fillId="60" borderId="81" applyNumberFormat="0" applyProtection="0">
      <alignment horizontal="left" vertical="top" indent="1"/>
    </xf>
    <xf numFmtId="0" fontId="94" fillId="58" borderId="58" applyNumberFormat="0" applyFont="0" applyAlignment="0" applyProtection="0"/>
    <xf numFmtId="165" fontId="11" fillId="0" borderId="0" applyFont="0" applyFill="0" applyBorder="0" applyAlignment="0" applyProtection="0"/>
    <xf numFmtId="165" fontId="94" fillId="0" borderId="0" applyFont="0" applyFill="0" applyBorder="0" applyAlignment="0" applyProtection="0"/>
    <xf numFmtId="165" fontId="1" fillId="0" borderId="0" applyFont="0" applyFill="0" applyBorder="0" applyAlignment="0" applyProtection="0"/>
    <xf numFmtId="4" fontId="38" fillId="18" borderId="84" applyNumberFormat="0" applyProtection="0">
      <alignment horizontal="left" vertical="center" indent="1"/>
    </xf>
    <xf numFmtId="4" fontId="38" fillId="18" borderId="84" applyNumberFormat="0" applyProtection="0">
      <alignment horizontal="left" vertical="center" indent="1"/>
    </xf>
    <xf numFmtId="4" fontId="38" fillId="3" borderId="84" applyNumberFormat="0" applyProtection="0">
      <alignment horizontal="left" vertical="center" indent="1"/>
    </xf>
    <xf numFmtId="4" fontId="68" fillId="30" borderId="84" applyNumberFormat="0" applyProtection="0">
      <alignment horizontal="righ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4" fontId="64" fillId="30" borderId="84" applyNumberFormat="0" applyProtection="0">
      <alignment horizontal="right" vertical="center"/>
    </xf>
    <xf numFmtId="4" fontId="38" fillId="30" borderId="84" applyNumberFormat="0" applyProtection="0">
      <alignment horizontal="right" vertical="center"/>
    </xf>
    <xf numFmtId="4" fontId="38" fillId="3" borderId="84" applyNumberFormat="0" applyProtection="0">
      <alignment horizontal="left" vertical="center" indent="1"/>
    </xf>
    <xf numFmtId="4" fontId="64" fillId="3" borderId="84" applyNumberFormat="0" applyProtection="0">
      <alignment vertical="center"/>
    </xf>
    <xf numFmtId="4" fontId="38" fillId="3" borderId="84" applyNumberFormat="0" applyProtection="0">
      <alignmen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0" fontId="1" fillId="2" borderId="84" applyNumberFormat="0" applyProtection="0">
      <alignment horizontal="left" vertical="center" indent="1"/>
    </xf>
    <xf numFmtId="0" fontId="1" fillId="2" borderId="84" applyNumberFormat="0" applyProtection="0">
      <alignment horizontal="left" vertical="center" indent="1"/>
    </xf>
    <xf numFmtId="0" fontId="1" fillId="33" borderId="84" applyNumberFormat="0" applyProtection="0">
      <alignment horizontal="left" vertical="center" indent="1"/>
    </xf>
    <xf numFmtId="0" fontId="1" fillId="33" borderId="84" applyNumberFormat="0" applyProtection="0">
      <alignment horizontal="left" vertical="center" indent="1"/>
    </xf>
    <xf numFmtId="0" fontId="1" fillId="32" borderId="84" applyNumberFormat="0" applyProtection="0">
      <alignment horizontal="left" vertical="center" indent="1"/>
    </xf>
    <xf numFmtId="0" fontId="1" fillId="32" borderId="84" applyNumberFormat="0" applyProtection="0">
      <alignment horizontal="left" vertical="center" indent="1"/>
    </xf>
    <xf numFmtId="4" fontId="38" fillId="32" borderId="84" applyNumberFormat="0" applyProtection="0">
      <alignment horizontal="left" vertical="center" indent="1"/>
    </xf>
    <xf numFmtId="4" fontId="38" fillId="30" borderId="84" applyNumberFormat="0" applyProtection="0">
      <alignment horizontal="left" vertical="center" indent="1"/>
    </xf>
    <xf numFmtId="0" fontId="1" fillId="19" borderId="84" applyNumberFormat="0" applyProtection="0">
      <alignment horizontal="left" vertical="center" indent="1"/>
    </xf>
    <xf numFmtId="4" fontId="65" fillId="29" borderId="84" applyNumberFormat="0" applyProtection="0">
      <alignment horizontal="left" vertical="center" indent="1"/>
    </xf>
    <xf numFmtId="4" fontId="38" fillId="23" borderId="84" applyNumberFormat="0" applyProtection="0">
      <alignment horizontal="right" vertical="center"/>
    </xf>
    <xf numFmtId="0" fontId="1" fillId="19" borderId="84" applyNumberFormat="0" applyProtection="0">
      <alignment horizontal="left" vertical="center" indent="1"/>
    </xf>
    <xf numFmtId="4" fontId="38" fillId="18" borderId="84" applyNumberFormat="0" applyProtection="0">
      <alignment horizontal="left" vertical="center" indent="1"/>
    </xf>
    <xf numFmtId="4" fontId="38" fillId="18" borderId="84" applyNumberFormat="0" applyProtection="0">
      <alignment horizontal="left" vertical="center" indent="1"/>
    </xf>
    <xf numFmtId="4" fontId="64" fillId="18" borderId="84" applyNumberFormat="0" applyProtection="0">
      <alignment vertical="center"/>
    </xf>
    <xf numFmtId="4" fontId="38" fillId="18" borderId="84" applyNumberFormat="0" applyProtection="0">
      <alignment vertical="center"/>
    </xf>
    <xf numFmtId="0" fontId="109" fillId="0" borderId="85" applyNumberFormat="0" applyFill="0" applyAlignment="0" applyProtection="0"/>
    <xf numFmtId="0" fontId="107" fillId="34" borderId="84" applyNumberFormat="0" applyAlignment="0" applyProtection="0"/>
    <xf numFmtId="4" fontId="38" fillId="28" borderId="84" applyNumberFormat="0" applyProtection="0">
      <alignment horizontal="right" vertical="center"/>
    </xf>
    <xf numFmtId="0" fontId="97" fillId="34" borderId="50" applyNumberFormat="0" applyAlignment="0" applyProtection="0"/>
    <xf numFmtId="4" fontId="38" fillId="24" borderId="84" applyNumberFormat="0" applyProtection="0">
      <alignment horizontal="right" vertical="center"/>
    </xf>
    <xf numFmtId="0" fontId="104" fillId="43" borderId="50" applyNumberFormat="0" applyAlignment="0" applyProtection="0"/>
    <xf numFmtId="4" fontId="38" fillId="26" borderId="84" applyNumberFormat="0" applyProtection="0">
      <alignment horizontal="right" vertical="center"/>
    </xf>
    <xf numFmtId="0" fontId="1" fillId="58" borderId="58" applyNumberFormat="0" applyFont="0" applyAlignment="0" applyProtection="0"/>
    <xf numFmtId="4" fontId="38" fillId="27" borderId="84" applyNumberFormat="0" applyProtection="0">
      <alignment horizontal="right" vertical="center"/>
    </xf>
    <xf numFmtId="4" fontId="38" fillId="25" borderId="84" applyNumberFormat="0" applyProtection="0">
      <alignment horizontal="right" vertical="center"/>
    </xf>
    <xf numFmtId="4" fontId="38" fillId="22" borderId="84" applyNumberFormat="0" applyProtection="0">
      <alignment horizontal="right" vertical="center"/>
    </xf>
    <xf numFmtId="0" fontId="1" fillId="58" borderId="58" applyNumberFormat="0" applyFont="0" applyAlignment="0" applyProtection="0"/>
    <xf numFmtId="5" fontId="55" fillId="0" borderId="133">
      <alignment horizontal="left" vertical="top"/>
    </xf>
    <xf numFmtId="0" fontId="1" fillId="19" borderId="84" applyNumberFormat="0" applyProtection="0">
      <alignment horizontal="left" vertical="center" indent="1"/>
    </xf>
    <xf numFmtId="4" fontId="5" fillId="59" borderId="55" applyNumberFormat="0" applyProtection="0">
      <alignment horizontal="right" vertical="center"/>
    </xf>
    <xf numFmtId="0" fontId="5" fillId="34" borderId="55" applyNumberFormat="0" applyProtection="0">
      <alignment horizontal="left" vertical="center" indent="1"/>
    </xf>
    <xf numFmtId="4" fontId="5" fillId="50" borderId="55" applyNumberFormat="0" applyProtection="0">
      <alignment horizontal="left" vertical="center" indent="1"/>
    </xf>
    <xf numFmtId="4" fontId="111" fillId="15" borderId="55" applyNumberFormat="0" applyProtection="0">
      <alignment horizontal="right" vertical="center"/>
    </xf>
    <xf numFmtId="4" fontId="5" fillId="0" borderId="55" applyNumberFormat="0" applyProtection="0">
      <alignment horizontal="right" vertical="center"/>
    </xf>
    <xf numFmtId="6" fontId="79" fillId="36" borderId="133"/>
    <xf numFmtId="5" fontId="77" fillId="30" borderId="133">
      <alignment vertical="top"/>
    </xf>
    <xf numFmtId="165" fontId="11" fillId="0" borderId="0" applyFont="0" applyFill="0" applyBorder="0" applyAlignment="0" applyProtection="0"/>
    <xf numFmtId="4" fontId="38" fillId="27" borderId="84" applyNumberFormat="0" applyProtection="0">
      <alignment horizontal="right" vertical="center"/>
    </xf>
    <xf numFmtId="0" fontId="1" fillId="2" borderId="84" applyNumberFormat="0" applyProtection="0">
      <alignment horizontal="left" vertical="center" indent="1"/>
    </xf>
    <xf numFmtId="0" fontId="2" fillId="0" borderId="57">
      <alignment horizontal="left" vertical="center"/>
    </xf>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38" fillId="21" borderId="84" applyNumberFormat="0" applyProtection="0">
      <alignment horizontal="right" vertical="center"/>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5" fillId="44" borderId="81" applyNumberFormat="0" applyProtection="0">
      <alignment horizontal="left" vertical="top" indent="1"/>
    </xf>
    <xf numFmtId="0" fontId="5" fillId="60" borderId="81" applyNumberFormat="0" applyProtection="0">
      <alignment horizontal="left" vertical="top" indent="1"/>
    </xf>
    <xf numFmtId="4" fontId="38" fillId="20" borderId="84" applyNumberFormat="0" applyProtection="0">
      <alignment horizontal="right" vertical="center"/>
    </xf>
    <xf numFmtId="0" fontId="2" fillId="0" borderId="57">
      <alignment horizontal="lef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94" fillId="58" borderId="58" applyNumberFormat="0" applyFont="0" applyAlignment="0" applyProtection="0"/>
    <xf numFmtId="0" fontId="94" fillId="58" borderId="58" applyNumberFormat="0" applyFont="0" applyAlignment="0" applyProtection="0"/>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94" fillId="58" borderId="58" applyNumberFormat="0" applyFont="0" applyAlignment="0" applyProtection="0"/>
    <xf numFmtId="0" fontId="94" fillId="58" borderId="58" applyNumberFormat="0" applyFont="0" applyAlignment="0" applyProtection="0"/>
    <xf numFmtId="0" fontId="104" fillId="43" borderId="50" applyNumberFormat="0" applyAlignment="0" applyProtection="0"/>
    <xf numFmtId="0" fontId="1" fillId="58" borderId="58" applyNumberFormat="0" applyFont="0" applyAlignment="0" applyProtection="0"/>
    <xf numFmtId="0" fontId="107" fillId="34" borderId="84" applyNumberFormat="0" applyAlignment="0" applyProtection="0"/>
    <xf numFmtId="165" fontId="11" fillId="0" borderId="0" applyFont="0" applyFill="0" applyBorder="0" applyAlignment="0" applyProtection="0"/>
    <xf numFmtId="164" fontId="1" fillId="0" borderId="0" applyFont="0" applyFill="0" applyBorder="0" applyAlignment="0" applyProtection="0"/>
    <xf numFmtId="187" fontId="50" fillId="0" borderId="86"/>
    <xf numFmtId="4" fontId="38" fillId="25" borderId="84" applyNumberFormat="0" applyProtection="0">
      <alignment horizontal="right" vertical="center"/>
    </xf>
    <xf numFmtId="0" fontId="109" fillId="0" borderId="85" applyNumberFormat="0" applyFill="0" applyAlignment="0" applyProtection="0"/>
    <xf numFmtId="4" fontId="38" fillId="18" borderId="84" applyNumberFormat="0" applyProtection="0">
      <alignment vertical="center"/>
    </xf>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165" fontId="1" fillId="0" borderId="0" applyFont="0" applyFill="0" applyBorder="0" applyAlignment="0" applyProtection="0"/>
    <xf numFmtId="165" fontId="1" fillId="0" borderId="0" applyFont="0" applyFill="0" applyBorder="0" applyAlignment="0" applyProtection="0"/>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0" fontId="1" fillId="19" borderId="84" applyNumberFormat="0" applyProtection="0">
      <alignment horizontal="left" vertical="center" indent="1"/>
    </xf>
    <xf numFmtId="4" fontId="5" fillId="59" borderId="55" applyNumberFormat="0" applyProtection="0">
      <alignment horizontal="right" vertical="center"/>
    </xf>
    <xf numFmtId="0" fontId="94" fillId="58" borderId="58" applyNumberFormat="0" applyFont="0" applyAlignment="0" applyProtection="0"/>
    <xf numFmtId="0" fontId="5" fillId="44" borderId="81" applyNumberFormat="0" applyProtection="0">
      <alignment horizontal="left" vertical="top" indent="1"/>
    </xf>
    <xf numFmtId="0" fontId="5" fillId="60" borderId="81" applyNumberFormat="0" applyProtection="0">
      <alignment horizontal="left" vertical="top" indent="1"/>
    </xf>
    <xf numFmtId="165" fontId="19" fillId="0" borderId="0" applyFont="0" applyFill="0" applyBorder="0" applyAlignment="0" applyProtection="0"/>
    <xf numFmtId="5" fontId="36" fillId="0" borderId="86" applyAlignment="0" applyProtection="0"/>
    <xf numFmtId="0" fontId="1" fillId="19" borderId="84" applyNumberFormat="0" applyProtection="0">
      <alignment horizontal="left" vertical="center" indent="1"/>
    </xf>
    <xf numFmtId="0" fontId="94" fillId="58" borderId="58" applyNumberFormat="0" applyFont="0" applyAlignment="0" applyProtection="0"/>
    <xf numFmtId="165" fontId="11" fillId="0" borderId="0" applyFont="0" applyFill="0" applyBorder="0" applyAlignment="0" applyProtection="0"/>
    <xf numFmtId="165" fontId="11" fillId="0" borderId="0" applyFont="0" applyFill="0" applyBorder="0" applyAlignment="0" applyProtection="0"/>
    <xf numFmtId="165" fontId="94" fillId="0" borderId="0" applyFont="0" applyFill="0" applyBorder="0" applyAlignment="0" applyProtection="0"/>
    <xf numFmtId="165" fontId="1" fillId="0" borderId="0" applyFont="0" applyFill="0" applyBorder="0" applyAlignment="0" applyProtection="0"/>
    <xf numFmtId="4" fontId="38" fillId="18" borderId="84" applyNumberFormat="0" applyProtection="0">
      <alignment horizontal="left" vertical="center" indent="1"/>
    </xf>
    <xf numFmtId="4" fontId="38" fillId="3" borderId="84" applyNumberFormat="0" applyProtection="0">
      <alignment horizontal="left" vertical="center" indent="1"/>
    </xf>
    <xf numFmtId="0" fontId="1" fillId="33" borderId="84" applyNumberFormat="0" applyProtection="0">
      <alignment horizontal="left" vertical="center" indent="1"/>
    </xf>
    <xf numFmtId="4" fontId="68" fillId="30" borderId="84" applyNumberFormat="0" applyProtection="0">
      <alignment horizontal="righ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4" fontId="64" fillId="30" borderId="84" applyNumberFormat="0" applyProtection="0">
      <alignment horizontal="right" vertical="center"/>
    </xf>
    <xf numFmtId="4" fontId="38" fillId="30" borderId="84" applyNumberFormat="0" applyProtection="0">
      <alignment horizontal="right" vertical="center"/>
    </xf>
    <xf numFmtId="4" fontId="38" fillId="3" borderId="84" applyNumberFormat="0" applyProtection="0">
      <alignment horizontal="left" vertical="center" indent="1"/>
    </xf>
    <xf numFmtId="4" fontId="64" fillId="3" borderId="84" applyNumberFormat="0" applyProtection="0">
      <alignment vertical="center"/>
    </xf>
    <xf numFmtId="4" fontId="38" fillId="3" borderId="84" applyNumberFormat="0" applyProtection="0">
      <alignmen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0" fontId="1" fillId="2" borderId="84" applyNumberFormat="0" applyProtection="0">
      <alignment horizontal="left" vertical="center" indent="1"/>
    </xf>
    <xf numFmtId="0" fontId="1" fillId="2" borderId="84" applyNumberFormat="0" applyProtection="0">
      <alignment horizontal="left" vertical="center" indent="1"/>
    </xf>
    <xf numFmtId="0" fontId="1" fillId="33" borderId="84" applyNumberFormat="0" applyProtection="0">
      <alignment horizontal="left" vertical="center" indent="1"/>
    </xf>
    <xf numFmtId="0" fontId="1" fillId="33" borderId="84" applyNumberFormat="0" applyProtection="0">
      <alignment horizontal="left" vertical="center" indent="1"/>
    </xf>
    <xf numFmtId="0" fontId="1" fillId="32" borderId="84" applyNumberFormat="0" applyProtection="0">
      <alignment horizontal="left" vertical="center" indent="1"/>
    </xf>
    <xf numFmtId="0" fontId="1" fillId="32" borderId="84" applyNumberFormat="0" applyProtection="0">
      <alignment horizontal="left" vertical="center" indent="1"/>
    </xf>
    <xf numFmtId="4" fontId="38" fillId="32" borderId="84" applyNumberFormat="0" applyProtection="0">
      <alignment horizontal="left" vertical="center" indent="1"/>
    </xf>
    <xf numFmtId="4" fontId="38" fillId="30" borderId="84" applyNumberFormat="0" applyProtection="0">
      <alignment horizontal="left" vertical="center" indent="1"/>
    </xf>
    <xf numFmtId="0" fontId="1" fillId="19" borderId="84" applyNumberFormat="0" applyProtection="0">
      <alignment horizontal="left" vertical="center" indent="1"/>
    </xf>
    <xf numFmtId="4" fontId="65" fillId="29" borderId="84" applyNumberFormat="0" applyProtection="0">
      <alignment horizontal="left" vertical="center" indent="1"/>
    </xf>
    <xf numFmtId="4" fontId="38" fillId="23" borderId="84" applyNumberFormat="0" applyProtection="0">
      <alignment horizontal="right" vertical="center"/>
    </xf>
    <xf numFmtId="0" fontId="1" fillId="19" borderId="84" applyNumberFormat="0" applyProtection="0">
      <alignment horizontal="left" vertical="center" indent="1"/>
    </xf>
    <xf numFmtId="4" fontId="38" fillId="18" borderId="84" applyNumberFormat="0" applyProtection="0">
      <alignment horizontal="left" vertical="center" indent="1"/>
    </xf>
    <xf numFmtId="4" fontId="38" fillId="18" borderId="84" applyNumberFormat="0" applyProtection="0">
      <alignment horizontal="left" vertical="center" indent="1"/>
    </xf>
    <xf numFmtId="4" fontId="64" fillId="18" borderId="84" applyNumberFormat="0" applyProtection="0">
      <alignment vertical="center"/>
    </xf>
    <xf numFmtId="4" fontId="38" fillId="18" borderId="84" applyNumberFormat="0" applyProtection="0">
      <alignment vertical="center"/>
    </xf>
    <xf numFmtId="0" fontId="109" fillId="0" borderId="85" applyNumberFormat="0" applyFill="0" applyAlignment="0" applyProtection="0"/>
    <xf numFmtId="0" fontId="107" fillId="34" borderId="84" applyNumberFormat="0" applyAlignment="0" applyProtection="0"/>
    <xf numFmtId="4" fontId="38" fillId="28" borderId="84" applyNumberFormat="0" applyProtection="0">
      <alignment horizontal="right" vertical="center"/>
    </xf>
    <xf numFmtId="0" fontId="97" fillId="34" borderId="50" applyNumberFormat="0" applyAlignment="0" applyProtection="0"/>
    <xf numFmtId="0" fontId="1" fillId="32" borderId="84" applyNumberFormat="0" applyProtection="0">
      <alignment horizontal="left" vertical="center" indent="1"/>
    </xf>
    <xf numFmtId="4" fontId="38" fillId="24" borderId="84" applyNumberFormat="0" applyProtection="0">
      <alignment horizontal="right" vertical="center"/>
    </xf>
    <xf numFmtId="0" fontId="104" fillId="43" borderId="50" applyNumberFormat="0" applyAlignment="0" applyProtection="0"/>
    <xf numFmtId="4" fontId="38" fillId="26" borderId="84" applyNumberFormat="0" applyProtection="0">
      <alignment horizontal="right" vertical="center"/>
    </xf>
    <xf numFmtId="4" fontId="38" fillId="26" borderId="84" applyNumberFormat="0" applyProtection="0">
      <alignment horizontal="right" vertical="center"/>
    </xf>
    <xf numFmtId="0" fontId="1" fillId="58" borderId="58" applyNumberFormat="0" applyFont="0" applyAlignment="0" applyProtection="0"/>
    <xf numFmtId="4" fontId="38" fillId="27" borderId="84" applyNumberFormat="0" applyProtection="0">
      <alignment horizontal="right" vertical="center"/>
    </xf>
    <xf numFmtId="4" fontId="38" fillId="25" borderId="84" applyNumberFormat="0" applyProtection="0">
      <alignment horizontal="right" vertical="center"/>
    </xf>
    <xf numFmtId="4" fontId="38" fillId="22" borderId="84" applyNumberFormat="0" applyProtection="0">
      <alignment horizontal="right" vertical="center"/>
    </xf>
    <xf numFmtId="0" fontId="1" fillId="19" borderId="84" applyNumberFormat="0" applyProtection="0">
      <alignment horizontal="left" vertical="center" indent="1"/>
    </xf>
    <xf numFmtId="0" fontId="1" fillId="58" borderId="58" applyNumberFormat="0" applyFont="0" applyAlignment="0" applyProtection="0"/>
    <xf numFmtId="5" fontId="55" fillId="0" borderId="133">
      <alignment horizontal="left" vertical="top"/>
    </xf>
    <xf numFmtId="0" fontId="1" fillId="19" borderId="84" applyNumberFormat="0" applyProtection="0">
      <alignment horizontal="left" vertical="center" indent="1"/>
    </xf>
    <xf numFmtId="4" fontId="38" fillId="32" borderId="84" applyNumberFormat="0" applyProtection="0">
      <alignment horizontal="left" vertical="center" indent="1"/>
    </xf>
    <xf numFmtId="0" fontId="1" fillId="32" borderId="84" applyNumberFormat="0" applyProtection="0">
      <alignment horizontal="left" vertical="center" indent="1"/>
    </xf>
    <xf numFmtId="0" fontId="1" fillId="2" borderId="84" applyNumberFormat="0" applyProtection="0">
      <alignment horizontal="left" vertical="center" indent="1"/>
    </xf>
    <xf numFmtId="4" fontId="38" fillId="3" borderId="84" applyNumberFormat="0" applyProtection="0">
      <alignment horizontal="left" vertical="center" indent="1"/>
    </xf>
    <xf numFmtId="0" fontId="107" fillId="34" borderId="84" applyNumberFormat="0" applyAlignment="0" applyProtection="0"/>
    <xf numFmtId="0" fontId="109" fillId="0" borderId="85" applyNumberFormat="0" applyFill="0" applyAlignment="0" applyProtection="0"/>
    <xf numFmtId="0" fontId="97" fillId="34" borderId="50" applyNumberFormat="0" applyAlignment="0" applyProtection="0"/>
    <xf numFmtId="4" fontId="5" fillId="59" borderId="55" applyNumberFormat="0" applyProtection="0">
      <alignment horizontal="right" vertical="center"/>
    </xf>
    <xf numFmtId="0" fontId="5" fillId="34" borderId="55" applyNumberFormat="0" applyProtection="0">
      <alignment horizontal="left" vertical="center" indent="1"/>
    </xf>
    <xf numFmtId="0" fontId="5" fillId="44" borderId="81" applyNumberFormat="0" applyProtection="0">
      <alignment horizontal="left" vertical="top" indent="1"/>
    </xf>
    <xf numFmtId="0" fontId="5" fillId="59" borderId="81" applyNumberFormat="0" applyProtection="0">
      <alignment horizontal="left" vertical="top" indent="1"/>
    </xf>
    <xf numFmtId="0" fontId="5" fillId="60" borderId="81" applyNumberFormat="0" applyProtection="0">
      <alignment horizontal="left" vertical="top" indent="1"/>
    </xf>
    <xf numFmtId="4" fontId="5" fillId="50" borderId="55" applyNumberFormat="0" applyProtection="0">
      <alignment horizontal="left" vertical="center" indent="1"/>
    </xf>
    <xf numFmtId="4" fontId="111" fillId="15" borderId="55" applyNumberFormat="0" applyProtection="0">
      <alignment horizontal="right" vertical="center"/>
    </xf>
    <xf numFmtId="4" fontId="5" fillId="0" borderId="55" applyNumberFormat="0" applyProtection="0">
      <alignment horizontal="right" vertical="center"/>
    </xf>
    <xf numFmtId="4" fontId="38" fillId="25" borderId="84" applyNumberFormat="0" applyProtection="0">
      <alignment horizontal="right" vertical="center"/>
    </xf>
    <xf numFmtId="6" fontId="79" fillId="36" borderId="133"/>
    <xf numFmtId="5" fontId="77" fillId="30" borderId="133">
      <alignment vertical="top"/>
    </xf>
    <xf numFmtId="165" fontId="29" fillId="0" borderId="0" applyFont="0" applyFill="0" applyBorder="0" applyAlignment="0" applyProtection="0"/>
    <xf numFmtId="165" fontId="11" fillId="0" borderId="0" applyFont="0" applyFill="0" applyBorder="0" applyAlignment="0" applyProtection="0"/>
    <xf numFmtId="0" fontId="1" fillId="33" borderId="84" applyNumberFormat="0" applyProtection="0">
      <alignment horizontal="left" vertical="center" indent="1"/>
    </xf>
    <xf numFmtId="0" fontId="1" fillId="2" borderId="84" applyNumberFormat="0" applyProtection="0">
      <alignment horizontal="left" vertical="center" indent="1"/>
    </xf>
    <xf numFmtId="0" fontId="1" fillId="19" borderId="84" applyNumberFormat="0" applyProtection="0">
      <alignment horizontal="left" vertical="center" indent="1"/>
    </xf>
    <xf numFmtId="0" fontId="1" fillId="19" borderId="84" applyNumberFormat="0" applyProtection="0">
      <alignment horizontal="left" vertical="center" indent="1"/>
    </xf>
    <xf numFmtId="4" fontId="38" fillId="3" borderId="84" applyNumberFormat="0" applyProtection="0">
      <alignment vertical="center"/>
    </xf>
    <xf numFmtId="4" fontId="64" fillId="3" borderId="84" applyNumberFormat="0" applyProtection="0">
      <alignment vertical="center"/>
    </xf>
    <xf numFmtId="4" fontId="38" fillId="3" borderId="84" applyNumberFormat="0" applyProtection="0">
      <alignment horizontal="left" vertical="center" indent="1"/>
    </xf>
    <xf numFmtId="4" fontId="38" fillId="30" borderId="84" applyNumberFormat="0" applyProtection="0">
      <alignment horizontal="right" vertical="center"/>
    </xf>
    <xf numFmtId="4" fontId="64" fillId="30" borderId="84" applyNumberFormat="0" applyProtection="0">
      <alignment horizontal="right" vertical="center"/>
    </xf>
    <xf numFmtId="0" fontId="1" fillId="19" borderId="84" applyNumberFormat="0" applyProtection="0">
      <alignment horizontal="left" vertical="center" indent="1"/>
    </xf>
    <xf numFmtId="4" fontId="68" fillId="30" borderId="84" applyNumberFormat="0" applyProtection="0">
      <alignment horizontal="right" vertical="center"/>
    </xf>
    <xf numFmtId="0" fontId="1" fillId="2" borderId="84" applyNumberFormat="0" applyProtection="0">
      <alignment horizontal="left" vertical="center" indent="1"/>
    </xf>
    <xf numFmtId="4" fontId="38" fillId="18" borderId="84" applyNumberFormat="0" applyProtection="0">
      <alignment horizontal="left" vertical="center" indent="1"/>
    </xf>
    <xf numFmtId="0" fontId="1" fillId="19" borderId="84" applyNumberFormat="0" applyProtection="0">
      <alignment horizontal="left" vertical="center" indent="1"/>
    </xf>
    <xf numFmtId="4" fontId="38" fillId="20" borderId="84" applyNumberFormat="0" applyProtection="0">
      <alignment horizontal="right" vertical="center"/>
    </xf>
    <xf numFmtId="4" fontId="38" fillId="21" borderId="84" applyNumberFormat="0" applyProtection="0">
      <alignment horizontal="right" vertical="center"/>
    </xf>
    <xf numFmtId="4" fontId="38" fillId="22" borderId="84" applyNumberFormat="0" applyProtection="0">
      <alignment horizontal="right" vertical="center"/>
    </xf>
    <xf numFmtId="0" fontId="2" fillId="0" borderId="57">
      <alignment horizontal="left" vertical="center"/>
    </xf>
    <xf numFmtId="4" fontId="38" fillId="23" borderId="84" applyNumberFormat="0" applyProtection="0">
      <alignment horizontal="right" vertical="center"/>
    </xf>
    <xf numFmtId="4" fontId="38" fillId="30" borderId="84" applyNumberFormat="0" applyProtection="0">
      <alignment horizontal="left" vertical="center" indent="1"/>
    </xf>
    <xf numFmtId="4" fontId="38" fillId="18" borderId="84" applyNumberFormat="0" applyProtection="0">
      <alignment vertical="center"/>
    </xf>
    <xf numFmtId="4" fontId="64" fillId="18" borderId="84" applyNumberFormat="0" applyProtection="0">
      <alignment vertical="center"/>
    </xf>
    <xf numFmtId="4" fontId="38" fillId="18" borderId="84" applyNumberFormat="0" applyProtection="0">
      <alignment horizontal="left" vertical="center" indent="1"/>
    </xf>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38" fillId="21" borderId="84" applyNumberFormat="0" applyProtection="0">
      <alignment horizontal="right" vertical="center"/>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5" fillId="44" borderId="81" applyNumberFormat="0" applyProtection="0">
      <alignment horizontal="left" vertical="top" indent="1"/>
    </xf>
    <xf numFmtId="0" fontId="5" fillId="60" borderId="81" applyNumberFormat="0" applyProtection="0">
      <alignment horizontal="left" vertical="top" indent="1"/>
    </xf>
    <xf numFmtId="4" fontId="38" fillId="20" borderId="84"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94" fillId="58" borderId="58" applyNumberFormat="0" applyFont="0" applyAlignment="0" applyProtection="0"/>
    <xf numFmtId="0" fontId="5" fillId="44" borderId="81" applyNumberFormat="0" applyProtection="0">
      <alignment horizontal="left" vertical="top" indent="1"/>
    </xf>
    <xf numFmtId="0" fontId="5" fillId="60" borderId="81" applyNumberFormat="0" applyProtection="0">
      <alignment horizontal="left" vertical="top" indent="1"/>
    </xf>
    <xf numFmtId="4" fontId="38" fillId="28" borderId="84" applyNumberFormat="0" applyProtection="0">
      <alignment horizontal="right" vertical="center"/>
    </xf>
    <xf numFmtId="0" fontId="94" fillId="58" borderId="58" applyNumberFormat="0" applyFont="0" applyAlignment="0" applyProtection="0"/>
    <xf numFmtId="4" fontId="38" fillId="27" borderId="84" applyNumberFormat="0" applyProtection="0">
      <alignment horizontal="right" vertical="center"/>
    </xf>
    <xf numFmtId="4" fontId="38" fillId="24" borderId="84" applyNumberFormat="0" applyProtection="0">
      <alignment horizontal="right" vertical="center"/>
    </xf>
    <xf numFmtId="4" fontId="65" fillId="29" borderId="84" applyNumberFormat="0" applyProtection="0">
      <alignment horizontal="left" vertical="center" indent="1"/>
    </xf>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94" fillId="58" borderId="58" applyNumberFormat="0" applyFont="0" applyAlignment="0" applyProtection="0"/>
    <xf numFmtId="0" fontId="5" fillId="44" borderId="81" applyNumberFormat="0" applyProtection="0">
      <alignment horizontal="left" vertical="top" indent="1"/>
    </xf>
    <xf numFmtId="0" fontId="5" fillId="60" borderId="81" applyNumberFormat="0" applyProtection="0">
      <alignment horizontal="left" vertical="top" indent="1"/>
    </xf>
    <xf numFmtId="0" fontId="94" fillId="58" borderId="58" applyNumberFormat="0" applyFont="0" applyAlignment="0" applyProtection="0"/>
    <xf numFmtId="0" fontId="1" fillId="58" borderId="58" applyNumberFormat="0" applyFont="0" applyAlignment="0" applyProtection="0"/>
    <xf numFmtId="0" fontId="107" fillId="34" borderId="84" applyNumberFormat="0" applyAlignment="0" applyProtection="0"/>
    <xf numFmtId="187" fontId="50" fillId="0" borderId="86"/>
    <xf numFmtId="0" fontId="109" fillId="0" borderId="85" applyNumberFormat="0" applyFill="0" applyAlignment="0" applyProtection="0"/>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165" fontId="1" fillId="0" borderId="0" applyFont="0" applyFill="0" applyBorder="0" applyAlignment="0" applyProtection="0"/>
    <xf numFmtId="165" fontId="1" fillId="0" borderId="0" applyFont="0" applyFill="0" applyBorder="0" applyAlignment="0" applyProtection="0"/>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0" fontId="1" fillId="19" borderId="84" applyNumberFormat="0" applyProtection="0">
      <alignment horizontal="left" vertical="center" indent="1"/>
    </xf>
    <xf numFmtId="4" fontId="5" fillId="59" borderId="55" applyNumberFormat="0" applyProtection="0">
      <alignment horizontal="right" vertical="center"/>
    </xf>
    <xf numFmtId="0" fontId="94" fillId="58" borderId="58" applyNumberFormat="0" applyFont="0" applyAlignment="0" applyProtection="0"/>
    <xf numFmtId="0" fontId="5" fillId="44" borderId="81" applyNumberFormat="0" applyProtection="0">
      <alignment horizontal="left" vertical="top" indent="1"/>
    </xf>
    <xf numFmtId="0" fontId="5" fillId="60" borderId="81" applyNumberFormat="0" applyProtection="0">
      <alignment horizontal="left" vertical="top" indent="1"/>
    </xf>
    <xf numFmtId="165" fontId="19" fillId="0" borderId="0" applyFont="0" applyFill="0" applyBorder="0" applyAlignment="0" applyProtection="0"/>
    <xf numFmtId="5" fontId="36" fillId="0" borderId="86" applyAlignment="0" applyProtection="0"/>
    <xf numFmtId="0" fontId="1" fillId="19" borderId="84" applyNumberFormat="0" applyProtection="0">
      <alignment horizontal="left" vertical="center" indent="1"/>
    </xf>
    <xf numFmtId="0" fontId="94" fillId="58" borderId="58" applyNumberFormat="0" applyFont="0" applyAlignment="0" applyProtection="0"/>
    <xf numFmtId="165" fontId="11" fillId="0" borderId="0" applyFont="0" applyFill="0" applyBorder="0" applyAlignment="0" applyProtection="0"/>
    <xf numFmtId="165" fontId="11" fillId="0" borderId="0" applyFont="0" applyFill="0" applyBorder="0" applyAlignment="0" applyProtection="0"/>
    <xf numFmtId="0" fontId="97" fillId="34" borderId="50" applyNumberFormat="0" applyAlignment="0" applyProtection="0"/>
    <xf numFmtId="165" fontId="94" fillId="0" borderId="0" applyFont="0" applyFill="0" applyBorder="0" applyAlignment="0" applyProtection="0"/>
    <xf numFmtId="165" fontId="1" fillId="0" borderId="0" applyFont="0" applyFill="0" applyBorder="0" applyAlignment="0" applyProtection="0"/>
    <xf numFmtId="4" fontId="38" fillId="18" borderId="84" applyNumberFormat="0" applyProtection="0">
      <alignment horizontal="left" vertical="center" indent="1"/>
    </xf>
    <xf numFmtId="4" fontId="38" fillId="3" borderId="84" applyNumberFormat="0" applyProtection="0">
      <alignment horizontal="left" vertical="center" indent="1"/>
    </xf>
    <xf numFmtId="0" fontId="1" fillId="33" borderId="84" applyNumberFormat="0" applyProtection="0">
      <alignment horizontal="left" vertical="center" indent="1"/>
    </xf>
    <xf numFmtId="4" fontId="68" fillId="30" borderId="84" applyNumberFormat="0" applyProtection="0">
      <alignment horizontal="righ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4" fontId="64" fillId="30" borderId="84" applyNumberFormat="0" applyProtection="0">
      <alignment horizontal="right" vertical="center"/>
    </xf>
    <xf numFmtId="4" fontId="38" fillId="30" borderId="84" applyNumberFormat="0" applyProtection="0">
      <alignment horizontal="right" vertical="center"/>
    </xf>
    <xf numFmtId="4" fontId="38" fillId="3" borderId="84" applyNumberFormat="0" applyProtection="0">
      <alignment horizontal="left" vertical="center" indent="1"/>
    </xf>
    <xf numFmtId="4" fontId="64" fillId="3" borderId="84" applyNumberFormat="0" applyProtection="0">
      <alignment vertical="center"/>
    </xf>
    <xf numFmtId="4" fontId="38" fillId="3" borderId="84" applyNumberFormat="0" applyProtection="0">
      <alignmen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0" fontId="1" fillId="2" borderId="84" applyNumberFormat="0" applyProtection="0">
      <alignment horizontal="left" vertical="center" indent="1"/>
    </xf>
    <xf numFmtId="0" fontId="1" fillId="2" borderId="84" applyNumberFormat="0" applyProtection="0">
      <alignment horizontal="left" vertical="center" indent="1"/>
    </xf>
    <xf numFmtId="0" fontId="1" fillId="33" borderId="84" applyNumberFormat="0" applyProtection="0">
      <alignment horizontal="left" vertical="center" indent="1"/>
    </xf>
    <xf numFmtId="0" fontId="1" fillId="33" borderId="84" applyNumberFormat="0" applyProtection="0">
      <alignment horizontal="left" vertical="center" indent="1"/>
    </xf>
    <xf numFmtId="0" fontId="1" fillId="32" borderId="84" applyNumberFormat="0" applyProtection="0">
      <alignment horizontal="left" vertical="center" indent="1"/>
    </xf>
    <xf numFmtId="0" fontId="1" fillId="32" borderId="84" applyNumberFormat="0" applyProtection="0">
      <alignment horizontal="left" vertical="center" indent="1"/>
    </xf>
    <xf numFmtId="4" fontId="38" fillId="32" borderId="84" applyNumberFormat="0" applyProtection="0">
      <alignment horizontal="left" vertical="center" indent="1"/>
    </xf>
    <xf numFmtId="4" fontId="38" fillId="30" borderId="84" applyNumberFormat="0" applyProtection="0">
      <alignment horizontal="left" vertical="center" indent="1"/>
    </xf>
    <xf numFmtId="0" fontId="1" fillId="19" borderId="84" applyNumberFormat="0" applyProtection="0">
      <alignment horizontal="left" vertical="center" indent="1"/>
    </xf>
    <xf numFmtId="4" fontId="65" fillId="29" borderId="84" applyNumberFormat="0" applyProtection="0">
      <alignment horizontal="left" vertical="center" indent="1"/>
    </xf>
    <xf numFmtId="4" fontId="38" fillId="23" borderId="84" applyNumberFormat="0" applyProtection="0">
      <alignment horizontal="right" vertical="center"/>
    </xf>
    <xf numFmtId="0" fontId="1" fillId="19" borderId="84" applyNumberFormat="0" applyProtection="0">
      <alignment horizontal="left" vertical="center" indent="1"/>
    </xf>
    <xf numFmtId="4" fontId="38" fillId="18" borderId="84" applyNumberFormat="0" applyProtection="0">
      <alignment horizontal="left" vertical="center" indent="1"/>
    </xf>
    <xf numFmtId="4" fontId="38" fillId="18" borderId="84" applyNumberFormat="0" applyProtection="0">
      <alignment horizontal="left" vertical="center" indent="1"/>
    </xf>
    <xf numFmtId="4" fontId="64" fillId="18" borderId="84" applyNumberFormat="0" applyProtection="0">
      <alignment vertical="center"/>
    </xf>
    <xf numFmtId="4" fontId="38" fillId="18" borderId="84" applyNumberFormat="0" applyProtection="0">
      <alignment vertical="center"/>
    </xf>
    <xf numFmtId="0" fontId="109" fillId="0" borderId="85" applyNumberFormat="0" applyFill="0" applyAlignment="0" applyProtection="0"/>
    <xf numFmtId="0" fontId="107" fillId="34" borderId="84" applyNumberFormat="0" applyAlignment="0" applyProtection="0"/>
    <xf numFmtId="4" fontId="38" fillId="28" borderId="84" applyNumberFormat="0" applyProtection="0">
      <alignment horizontal="right" vertical="center"/>
    </xf>
    <xf numFmtId="0" fontId="97" fillId="34" borderId="50" applyNumberFormat="0" applyAlignment="0" applyProtection="0"/>
    <xf numFmtId="0" fontId="1" fillId="32" borderId="84" applyNumberFormat="0" applyProtection="0">
      <alignment horizontal="left" vertical="center" indent="1"/>
    </xf>
    <xf numFmtId="4" fontId="38" fillId="24" borderId="84" applyNumberFormat="0" applyProtection="0">
      <alignment horizontal="right" vertical="center"/>
    </xf>
    <xf numFmtId="0" fontId="104" fillId="43" borderId="50" applyNumberFormat="0" applyAlignment="0" applyProtection="0"/>
    <xf numFmtId="4" fontId="38" fillId="26" borderId="84" applyNumberFormat="0" applyProtection="0">
      <alignment horizontal="right" vertical="center"/>
    </xf>
    <xf numFmtId="4" fontId="38" fillId="26" borderId="84" applyNumberFormat="0" applyProtection="0">
      <alignment horizontal="right" vertical="center"/>
    </xf>
    <xf numFmtId="0" fontId="1" fillId="58" borderId="58" applyNumberFormat="0" applyFont="0" applyAlignment="0" applyProtection="0"/>
    <xf numFmtId="4" fontId="38" fillId="27" borderId="84" applyNumberFormat="0" applyProtection="0">
      <alignment horizontal="right" vertical="center"/>
    </xf>
    <xf numFmtId="4" fontId="38" fillId="25" borderId="84" applyNumberFormat="0" applyProtection="0">
      <alignment horizontal="right" vertical="center"/>
    </xf>
    <xf numFmtId="4" fontId="38" fillId="22" borderId="84" applyNumberFormat="0" applyProtection="0">
      <alignment horizontal="right" vertical="center"/>
    </xf>
    <xf numFmtId="0" fontId="1" fillId="19" borderId="84" applyNumberFormat="0" applyProtection="0">
      <alignment horizontal="left" vertical="center" indent="1"/>
    </xf>
    <xf numFmtId="0" fontId="1" fillId="58" borderId="58" applyNumberFormat="0" applyFont="0" applyAlignment="0" applyProtection="0"/>
    <xf numFmtId="5" fontId="55" fillId="0" borderId="48">
      <alignment horizontal="left" vertical="top"/>
    </xf>
    <xf numFmtId="0" fontId="1" fillId="19" borderId="84" applyNumberFormat="0" applyProtection="0">
      <alignment horizontal="left" vertical="center" indent="1"/>
    </xf>
    <xf numFmtId="4" fontId="38" fillId="32" borderId="84" applyNumberFormat="0" applyProtection="0">
      <alignment horizontal="left" vertical="center" indent="1"/>
    </xf>
    <xf numFmtId="0" fontId="1" fillId="32" borderId="84" applyNumberFormat="0" applyProtection="0">
      <alignment horizontal="left" vertical="center" indent="1"/>
    </xf>
    <xf numFmtId="0" fontId="1" fillId="2" borderId="84" applyNumberFormat="0" applyProtection="0">
      <alignment horizontal="left" vertical="center" indent="1"/>
    </xf>
    <xf numFmtId="4" fontId="38" fillId="3" borderId="84" applyNumberFormat="0" applyProtection="0">
      <alignment horizontal="left" vertical="center" indent="1"/>
    </xf>
    <xf numFmtId="0" fontId="107" fillId="34" borderId="84" applyNumberFormat="0" applyAlignment="0" applyProtection="0"/>
    <xf numFmtId="0" fontId="109" fillId="0" borderId="85" applyNumberFormat="0" applyFill="0" applyAlignment="0" applyProtection="0"/>
    <xf numFmtId="4" fontId="5" fillId="59" borderId="55" applyNumberFormat="0" applyProtection="0">
      <alignment horizontal="right" vertical="center"/>
    </xf>
    <xf numFmtId="0" fontId="5" fillId="34" borderId="55" applyNumberFormat="0" applyProtection="0">
      <alignment horizontal="left" vertical="center" indent="1"/>
    </xf>
    <xf numFmtId="0" fontId="5" fillId="44" borderId="81" applyNumberFormat="0" applyProtection="0">
      <alignment horizontal="left" vertical="top" indent="1"/>
    </xf>
    <xf numFmtId="0" fontId="5" fillId="59" borderId="81" applyNumberFormat="0" applyProtection="0">
      <alignment horizontal="left" vertical="top" indent="1"/>
    </xf>
    <xf numFmtId="0" fontId="5" fillId="60" borderId="81" applyNumberFormat="0" applyProtection="0">
      <alignment horizontal="left" vertical="top" indent="1"/>
    </xf>
    <xf numFmtId="4" fontId="5" fillId="50" borderId="55" applyNumberFormat="0" applyProtection="0">
      <alignment horizontal="left" vertical="center" indent="1"/>
    </xf>
    <xf numFmtId="4" fontId="111" fillId="15" borderId="55" applyNumberFormat="0" applyProtection="0">
      <alignment horizontal="right" vertical="center"/>
    </xf>
    <xf numFmtId="4" fontId="5" fillId="0" borderId="55" applyNumberFormat="0" applyProtection="0">
      <alignment horizontal="right" vertical="center"/>
    </xf>
    <xf numFmtId="4" fontId="38" fillId="25" borderId="84" applyNumberFormat="0" applyProtection="0">
      <alignment horizontal="right" vertical="center"/>
    </xf>
    <xf numFmtId="6" fontId="79" fillId="36" borderId="48"/>
    <xf numFmtId="5" fontId="77" fillId="30" borderId="48">
      <alignment vertical="top"/>
    </xf>
    <xf numFmtId="0" fontId="1" fillId="33" borderId="84" applyNumberFormat="0" applyProtection="0">
      <alignment horizontal="left" vertical="center" indent="1"/>
    </xf>
    <xf numFmtId="0" fontId="1" fillId="2" borderId="84" applyNumberFormat="0" applyProtection="0">
      <alignment horizontal="left" vertical="center" indent="1"/>
    </xf>
    <xf numFmtId="0" fontId="1" fillId="19" borderId="84" applyNumberFormat="0" applyProtection="0">
      <alignment horizontal="left" vertical="center" indent="1"/>
    </xf>
    <xf numFmtId="0" fontId="1" fillId="19" borderId="84" applyNumberFormat="0" applyProtection="0">
      <alignment horizontal="left" vertical="center" indent="1"/>
    </xf>
    <xf numFmtId="4" fontId="38" fillId="3" borderId="84" applyNumberFormat="0" applyProtection="0">
      <alignment vertical="center"/>
    </xf>
    <xf numFmtId="4" fontId="64" fillId="3" borderId="84" applyNumberFormat="0" applyProtection="0">
      <alignment vertical="center"/>
    </xf>
    <xf numFmtId="4" fontId="38" fillId="3" borderId="84" applyNumberFormat="0" applyProtection="0">
      <alignment horizontal="left" vertical="center" indent="1"/>
    </xf>
    <xf numFmtId="4" fontId="38" fillId="30" borderId="84" applyNumberFormat="0" applyProtection="0">
      <alignment horizontal="right" vertical="center"/>
    </xf>
    <xf numFmtId="4" fontId="64" fillId="30" borderId="84" applyNumberFormat="0" applyProtection="0">
      <alignment horizontal="right" vertical="center"/>
    </xf>
    <xf numFmtId="0" fontId="1" fillId="19" borderId="84" applyNumberFormat="0" applyProtection="0">
      <alignment horizontal="left" vertical="center" indent="1"/>
    </xf>
    <xf numFmtId="4" fontId="68" fillId="30" borderId="84" applyNumberFormat="0" applyProtection="0">
      <alignment horizontal="right" vertical="center"/>
    </xf>
    <xf numFmtId="0" fontId="1" fillId="2" borderId="84" applyNumberFormat="0" applyProtection="0">
      <alignment horizontal="left" vertical="center" indent="1"/>
    </xf>
    <xf numFmtId="4" fontId="38" fillId="18" borderId="84" applyNumberFormat="0" applyProtection="0">
      <alignment horizontal="left" vertical="center" indent="1"/>
    </xf>
    <xf numFmtId="0" fontId="1" fillId="19" borderId="84" applyNumberFormat="0" applyProtection="0">
      <alignment horizontal="left" vertical="center" indent="1"/>
    </xf>
    <xf numFmtId="4" fontId="38" fillId="20" borderId="84" applyNumberFormat="0" applyProtection="0">
      <alignment horizontal="right" vertical="center"/>
    </xf>
    <xf numFmtId="4" fontId="38" fillId="21" borderId="84" applyNumberFormat="0" applyProtection="0">
      <alignment horizontal="right" vertical="center"/>
    </xf>
    <xf numFmtId="4" fontId="38" fillId="22" borderId="84" applyNumberFormat="0" applyProtection="0">
      <alignment horizontal="right" vertical="center"/>
    </xf>
    <xf numFmtId="0" fontId="2" fillId="0" borderId="57">
      <alignment horizontal="left" vertical="center"/>
    </xf>
    <xf numFmtId="4" fontId="38" fillId="23" borderId="84" applyNumberFormat="0" applyProtection="0">
      <alignment horizontal="right" vertical="center"/>
    </xf>
    <xf numFmtId="4" fontId="38" fillId="30" borderId="84" applyNumberFormat="0" applyProtection="0">
      <alignment horizontal="left" vertical="center" indent="1"/>
    </xf>
    <xf numFmtId="4" fontId="38" fillId="18" borderId="84" applyNumberFormat="0" applyProtection="0">
      <alignment vertical="center"/>
    </xf>
    <xf numFmtId="4" fontId="64" fillId="18" borderId="84" applyNumberFormat="0" applyProtection="0">
      <alignment vertical="center"/>
    </xf>
    <xf numFmtId="4" fontId="38" fillId="18" borderId="84" applyNumberFormat="0" applyProtection="0">
      <alignment horizontal="left" vertical="center" indent="1"/>
    </xf>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38" fillId="21" borderId="84" applyNumberFormat="0" applyProtection="0">
      <alignment horizontal="right" vertical="center"/>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5" fillId="44" borderId="81" applyNumberFormat="0" applyProtection="0">
      <alignment horizontal="left" vertical="top" indent="1"/>
    </xf>
    <xf numFmtId="0" fontId="5" fillId="60" borderId="81" applyNumberFormat="0" applyProtection="0">
      <alignment horizontal="left" vertical="top" indent="1"/>
    </xf>
    <xf numFmtId="4" fontId="38" fillId="20" borderId="84"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94" fillId="58" borderId="58" applyNumberFormat="0" applyFont="0" applyAlignment="0" applyProtection="0"/>
    <xf numFmtId="0" fontId="5" fillId="44" borderId="81" applyNumberFormat="0" applyProtection="0">
      <alignment horizontal="left" vertical="top" indent="1"/>
    </xf>
    <xf numFmtId="0" fontId="5" fillId="60" borderId="81" applyNumberFormat="0" applyProtection="0">
      <alignment horizontal="left" vertical="top" indent="1"/>
    </xf>
    <xf numFmtId="4" fontId="38" fillId="28" borderId="84" applyNumberFormat="0" applyProtection="0">
      <alignment horizontal="right" vertical="center"/>
    </xf>
    <xf numFmtId="0" fontId="94" fillId="58" borderId="58" applyNumberFormat="0" applyFont="0" applyAlignment="0" applyProtection="0"/>
    <xf numFmtId="4" fontId="38" fillId="27" borderId="84" applyNumberFormat="0" applyProtection="0">
      <alignment horizontal="right" vertical="center"/>
    </xf>
    <xf numFmtId="4" fontId="38" fillId="24" borderId="84" applyNumberFormat="0" applyProtection="0">
      <alignment horizontal="right" vertical="center"/>
    </xf>
    <xf numFmtId="4" fontId="65" fillId="29" borderId="84" applyNumberFormat="0" applyProtection="0">
      <alignment horizontal="left" vertical="center" indent="1"/>
    </xf>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94" fillId="58" borderId="58" applyNumberFormat="0" applyFont="0" applyAlignment="0" applyProtection="0"/>
    <xf numFmtId="0" fontId="5" fillId="44" borderId="81" applyNumberFormat="0" applyProtection="0">
      <alignment horizontal="left" vertical="top" indent="1"/>
    </xf>
    <xf numFmtId="0" fontId="5" fillId="60" borderId="81" applyNumberFormat="0" applyProtection="0">
      <alignment horizontal="left" vertical="top" indent="1"/>
    </xf>
    <xf numFmtId="0" fontId="94" fillId="58" borderId="58" applyNumberFormat="0" applyFont="0" applyAlignment="0" applyProtection="0"/>
    <xf numFmtId="0" fontId="1" fillId="58" borderId="58" applyNumberFormat="0" applyFont="0" applyAlignment="0" applyProtection="0"/>
    <xf numFmtId="0" fontId="107" fillId="34" borderId="84" applyNumberFormat="0" applyAlignment="0" applyProtection="0"/>
    <xf numFmtId="187" fontId="50" fillId="0" borderId="86"/>
    <xf numFmtId="0" fontId="109" fillId="0" borderId="85" applyNumberFormat="0" applyFill="0" applyAlignment="0" applyProtection="0"/>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165" fontId="1" fillId="0" borderId="0" applyFont="0" applyFill="0" applyBorder="0" applyAlignment="0" applyProtection="0"/>
    <xf numFmtId="165" fontId="1" fillId="0" borderId="0" applyFont="0" applyFill="0" applyBorder="0" applyAlignment="0" applyProtection="0"/>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0" fontId="1" fillId="19" borderId="84" applyNumberFormat="0" applyProtection="0">
      <alignment horizontal="left" vertical="center" indent="1"/>
    </xf>
    <xf numFmtId="4" fontId="5" fillId="59" borderId="55" applyNumberFormat="0" applyProtection="0">
      <alignment horizontal="right" vertical="center"/>
    </xf>
    <xf numFmtId="0" fontId="94" fillId="58" borderId="58" applyNumberFormat="0" applyFont="0" applyAlignment="0" applyProtection="0"/>
    <xf numFmtId="0" fontId="5" fillId="44" borderId="81" applyNumberFormat="0" applyProtection="0">
      <alignment horizontal="left" vertical="top" indent="1"/>
    </xf>
    <xf numFmtId="0" fontId="5" fillId="60" borderId="81" applyNumberFormat="0" applyProtection="0">
      <alignment horizontal="left" vertical="top" indent="1"/>
    </xf>
    <xf numFmtId="0" fontId="1" fillId="19" borderId="84" applyNumberFormat="0" applyProtection="0">
      <alignment horizontal="left" vertical="center" indent="1"/>
    </xf>
    <xf numFmtId="0" fontId="94" fillId="58" borderId="58" applyNumberFormat="0" applyFont="0" applyAlignment="0" applyProtection="0"/>
    <xf numFmtId="165" fontId="11" fillId="0" borderId="0" applyFont="0" applyFill="0" applyBorder="0" applyAlignment="0" applyProtection="0"/>
    <xf numFmtId="165" fontId="11" fillId="0" borderId="0" applyFont="0" applyFill="0" applyBorder="0" applyAlignment="0" applyProtection="0"/>
    <xf numFmtId="165" fontId="94" fillId="0" borderId="0" applyFont="0" applyFill="0" applyBorder="0" applyAlignment="0" applyProtection="0"/>
    <xf numFmtId="165" fontId="1" fillId="0" borderId="0" applyFont="0" applyFill="0" applyBorder="0" applyAlignment="0" applyProtection="0"/>
    <xf numFmtId="4" fontId="38" fillId="18" borderId="84" applyNumberFormat="0" applyProtection="0">
      <alignment horizontal="left" vertical="center" indent="1"/>
    </xf>
    <xf numFmtId="4" fontId="38" fillId="3" borderId="84" applyNumberFormat="0" applyProtection="0">
      <alignment horizontal="left" vertical="center" indent="1"/>
    </xf>
    <xf numFmtId="0" fontId="1" fillId="33" borderId="84" applyNumberFormat="0" applyProtection="0">
      <alignment horizontal="left" vertical="center" indent="1"/>
    </xf>
    <xf numFmtId="4" fontId="68" fillId="30" borderId="84" applyNumberFormat="0" applyProtection="0">
      <alignment horizontal="righ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4" fontId="64" fillId="30" borderId="84" applyNumberFormat="0" applyProtection="0">
      <alignment horizontal="right" vertical="center"/>
    </xf>
    <xf numFmtId="4" fontId="38" fillId="30" borderId="84" applyNumberFormat="0" applyProtection="0">
      <alignment horizontal="right" vertical="center"/>
    </xf>
    <xf numFmtId="4" fontId="38" fillId="3" borderId="84" applyNumberFormat="0" applyProtection="0">
      <alignment horizontal="left" vertical="center" indent="1"/>
    </xf>
    <xf numFmtId="4" fontId="64" fillId="3" borderId="84" applyNumberFormat="0" applyProtection="0">
      <alignment vertical="center"/>
    </xf>
    <xf numFmtId="4" fontId="38" fillId="3" borderId="84" applyNumberFormat="0" applyProtection="0">
      <alignmen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0" fontId="1" fillId="2" borderId="84" applyNumberFormat="0" applyProtection="0">
      <alignment horizontal="left" vertical="center" indent="1"/>
    </xf>
    <xf numFmtId="0" fontId="1" fillId="2" borderId="84" applyNumberFormat="0" applyProtection="0">
      <alignment horizontal="left" vertical="center" indent="1"/>
    </xf>
    <xf numFmtId="0" fontId="1" fillId="33" borderId="84" applyNumberFormat="0" applyProtection="0">
      <alignment horizontal="left" vertical="center" indent="1"/>
    </xf>
    <xf numFmtId="0" fontId="1" fillId="33" borderId="84" applyNumberFormat="0" applyProtection="0">
      <alignment horizontal="left" vertical="center" indent="1"/>
    </xf>
    <xf numFmtId="0" fontId="1" fillId="32" borderId="84" applyNumberFormat="0" applyProtection="0">
      <alignment horizontal="left" vertical="center" indent="1"/>
    </xf>
    <xf numFmtId="0" fontId="1" fillId="32" borderId="84" applyNumberFormat="0" applyProtection="0">
      <alignment horizontal="left" vertical="center" indent="1"/>
    </xf>
    <xf numFmtId="4" fontId="38" fillId="32" borderId="84" applyNumberFormat="0" applyProtection="0">
      <alignment horizontal="left" vertical="center" indent="1"/>
    </xf>
    <xf numFmtId="4" fontId="38" fillId="30" borderId="84" applyNumberFormat="0" applyProtection="0">
      <alignment horizontal="left" vertical="center" indent="1"/>
    </xf>
    <xf numFmtId="0" fontId="1" fillId="19" borderId="84" applyNumberFormat="0" applyProtection="0">
      <alignment horizontal="left" vertical="center" indent="1"/>
    </xf>
    <xf numFmtId="4" fontId="65" fillId="29" borderId="84" applyNumberFormat="0" applyProtection="0">
      <alignment horizontal="left" vertical="center" indent="1"/>
    </xf>
    <xf numFmtId="4" fontId="38" fillId="23" borderId="84" applyNumberFormat="0" applyProtection="0">
      <alignment horizontal="right" vertical="center"/>
    </xf>
    <xf numFmtId="0" fontId="1" fillId="19" borderId="84" applyNumberFormat="0" applyProtection="0">
      <alignment horizontal="left" vertical="center" indent="1"/>
    </xf>
    <xf numFmtId="4" fontId="38" fillId="18" borderId="84" applyNumberFormat="0" applyProtection="0">
      <alignment horizontal="left" vertical="center" indent="1"/>
    </xf>
    <xf numFmtId="4" fontId="38" fillId="18" borderId="84" applyNumberFormat="0" applyProtection="0">
      <alignment horizontal="left" vertical="center" indent="1"/>
    </xf>
    <xf numFmtId="4" fontId="64" fillId="18" borderId="84" applyNumberFormat="0" applyProtection="0">
      <alignment vertical="center"/>
    </xf>
    <xf numFmtId="4" fontId="38" fillId="18" borderId="84" applyNumberFormat="0" applyProtection="0">
      <alignment vertical="center"/>
    </xf>
    <xf numFmtId="0" fontId="109" fillId="0" borderId="85" applyNumberFormat="0" applyFill="0" applyAlignment="0" applyProtection="0"/>
    <xf numFmtId="0" fontId="107" fillId="34" borderId="84" applyNumberFormat="0" applyAlignment="0" applyProtection="0"/>
    <xf numFmtId="4" fontId="38" fillId="28" borderId="84" applyNumberFormat="0" applyProtection="0">
      <alignment horizontal="right" vertical="center"/>
    </xf>
    <xf numFmtId="0" fontId="97" fillId="34" borderId="50" applyNumberFormat="0" applyAlignment="0" applyProtection="0"/>
    <xf numFmtId="0" fontId="1" fillId="32" borderId="84" applyNumberFormat="0" applyProtection="0">
      <alignment horizontal="left" vertical="center" indent="1"/>
    </xf>
    <xf numFmtId="4" fontId="38" fillId="24" borderId="84" applyNumberFormat="0" applyProtection="0">
      <alignment horizontal="right" vertical="center"/>
    </xf>
    <xf numFmtId="0" fontId="104" fillId="43" borderId="50" applyNumberFormat="0" applyAlignment="0" applyProtection="0"/>
    <xf numFmtId="4" fontId="38" fillId="26" borderId="84" applyNumberFormat="0" applyProtection="0">
      <alignment horizontal="right" vertical="center"/>
    </xf>
    <xf numFmtId="4" fontId="38" fillId="26" borderId="84" applyNumberFormat="0" applyProtection="0">
      <alignment horizontal="right" vertical="center"/>
    </xf>
    <xf numFmtId="0" fontId="1" fillId="58" borderId="58" applyNumberFormat="0" applyFont="0" applyAlignment="0" applyProtection="0"/>
    <xf numFmtId="4" fontId="38" fillId="27" borderId="84" applyNumberFormat="0" applyProtection="0">
      <alignment horizontal="right" vertical="center"/>
    </xf>
    <xf numFmtId="4" fontId="38" fillId="25" borderId="84" applyNumberFormat="0" applyProtection="0">
      <alignment horizontal="right" vertical="center"/>
    </xf>
    <xf numFmtId="4" fontId="38" fillId="22" borderId="84" applyNumberFormat="0" applyProtection="0">
      <alignment horizontal="right" vertical="center"/>
    </xf>
    <xf numFmtId="0" fontId="1" fillId="19" borderId="84" applyNumberFormat="0" applyProtection="0">
      <alignment horizontal="left" vertical="center" indent="1"/>
    </xf>
    <xf numFmtId="0" fontId="1" fillId="58" borderId="58" applyNumberFormat="0" applyFont="0" applyAlignment="0" applyProtection="0"/>
    <xf numFmtId="5" fontId="55" fillId="0" borderId="48">
      <alignment horizontal="left" vertical="top"/>
    </xf>
    <xf numFmtId="0" fontId="1" fillId="19" borderId="84" applyNumberFormat="0" applyProtection="0">
      <alignment horizontal="left" vertical="center" indent="1"/>
    </xf>
    <xf numFmtId="4" fontId="38" fillId="32" borderId="84" applyNumberFormat="0" applyProtection="0">
      <alignment horizontal="left" vertical="center" indent="1"/>
    </xf>
    <xf numFmtId="0" fontId="1" fillId="32" borderId="84" applyNumberFormat="0" applyProtection="0">
      <alignment horizontal="left" vertical="center" indent="1"/>
    </xf>
    <xf numFmtId="0" fontId="1" fillId="2" borderId="84" applyNumberFormat="0" applyProtection="0">
      <alignment horizontal="left" vertical="center" indent="1"/>
    </xf>
    <xf numFmtId="4" fontId="38" fillId="3" borderId="84" applyNumberFormat="0" applyProtection="0">
      <alignment horizontal="left" vertical="center" indent="1"/>
    </xf>
    <xf numFmtId="0" fontId="107" fillId="34" borderId="84" applyNumberFormat="0" applyAlignment="0" applyProtection="0"/>
    <xf numFmtId="0" fontId="109" fillId="0" borderId="85" applyNumberFormat="0" applyFill="0" applyAlignment="0" applyProtection="0"/>
    <xf numFmtId="4" fontId="5" fillId="59" borderId="55" applyNumberFormat="0" applyProtection="0">
      <alignment horizontal="right" vertical="center"/>
    </xf>
    <xf numFmtId="0" fontId="5" fillId="34" borderId="55" applyNumberFormat="0" applyProtection="0">
      <alignment horizontal="left" vertical="center" indent="1"/>
    </xf>
    <xf numFmtId="0" fontId="5" fillId="44" borderId="81" applyNumberFormat="0" applyProtection="0">
      <alignment horizontal="left" vertical="top" indent="1"/>
    </xf>
    <xf numFmtId="0" fontId="5" fillId="59" borderId="81" applyNumberFormat="0" applyProtection="0">
      <alignment horizontal="left" vertical="top" indent="1"/>
    </xf>
    <xf numFmtId="0" fontId="5" fillId="60" borderId="81" applyNumberFormat="0" applyProtection="0">
      <alignment horizontal="left" vertical="top" indent="1"/>
    </xf>
    <xf numFmtId="4" fontId="5" fillId="50" borderId="55" applyNumberFormat="0" applyProtection="0">
      <alignment horizontal="left" vertical="center" indent="1"/>
    </xf>
    <xf numFmtId="4" fontId="111" fillId="15" borderId="55" applyNumberFormat="0" applyProtection="0">
      <alignment horizontal="right" vertical="center"/>
    </xf>
    <xf numFmtId="4" fontId="5" fillId="0" borderId="55" applyNumberFormat="0" applyProtection="0">
      <alignment horizontal="right" vertical="center"/>
    </xf>
    <xf numFmtId="4" fontId="38" fillId="25" borderId="84" applyNumberFormat="0" applyProtection="0">
      <alignment horizontal="right" vertical="center"/>
    </xf>
    <xf numFmtId="6" fontId="79" fillId="36" borderId="48"/>
    <xf numFmtId="5" fontId="77" fillId="30" borderId="48">
      <alignment vertical="top"/>
    </xf>
    <xf numFmtId="0" fontId="1" fillId="33" borderId="84" applyNumberFormat="0" applyProtection="0">
      <alignment horizontal="left" vertical="center" indent="1"/>
    </xf>
    <xf numFmtId="0" fontId="1" fillId="2" borderId="84" applyNumberFormat="0" applyProtection="0">
      <alignment horizontal="left" vertical="center" indent="1"/>
    </xf>
    <xf numFmtId="0" fontId="1" fillId="19" borderId="84" applyNumberFormat="0" applyProtection="0">
      <alignment horizontal="left" vertical="center" indent="1"/>
    </xf>
    <xf numFmtId="0" fontId="1" fillId="19" borderId="84" applyNumberFormat="0" applyProtection="0">
      <alignment horizontal="left" vertical="center" indent="1"/>
    </xf>
    <xf numFmtId="4" fontId="38" fillId="3" borderId="84" applyNumberFormat="0" applyProtection="0">
      <alignment vertical="center"/>
    </xf>
    <xf numFmtId="4" fontId="64" fillId="3" borderId="84" applyNumberFormat="0" applyProtection="0">
      <alignment vertical="center"/>
    </xf>
    <xf numFmtId="4" fontId="38" fillId="3" borderId="84" applyNumberFormat="0" applyProtection="0">
      <alignment horizontal="left" vertical="center" indent="1"/>
    </xf>
    <xf numFmtId="4" fontId="38" fillId="30" borderId="84" applyNumberFormat="0" applyProtection="0">
      <alignment horizontal="right" vertical="center"/>
    </xf>
    <xf numFmtId="4" fontId="64" fillId="30" borderId="84" applyNumberFormat="0" applyProtection="0">
      <alignment horizontal="right" vertical="center"/>
    </xf>
    <xf numFmtId="0" fontId="1" fillId="19" borderId="84" applyNumberFormat="0" applyProtection="0">
      <alignment horizontal="left" vertical="center" indent="1"/>
    </xf>
    <xf numFmtId="4" fontId="68" fillId="30" borderId="84" applyNumberFormat="0" applyProtection="0">
      <alignment horizontal="right" vertical="center"/>
    </xf>
    <xf numFmtId="0" fontId="1" fillId="2" borderId="84" applyNumberFormat="0" applyProtection="0">
      <alignment horizontal="left" vertical="center" indent="1"/>
    </xf>
    <xf numFmtId="4" fontId="38" fillId="18" borderId="84" applyNumberFormat="0" applyProtection="0">
      <alignment horizontal="left" vertical="center" indent="1"/>
    </xf>
    <xf numFmtId="0" fontId="1" fillId="19" borderId="84" applyNumberFormat="0" applyProtection="0">
      <alignment horizontal="left" vertical="center" indent="1"/>
    </xf>
    <xf numFmtId="4" fontId="38" fillId="20" borderId="84" applyNumberFormat="0" applyProtection="0">
      <alignment horizontal="right" vertical="center"/>
    </xf>
    <xf numFmtId="4" fontId="38" fillId="21" borderId="84" applyNumberFormat="0" applyProtection="0">
      <alignment horizontal="right" vertical="center"/>
    </xf>
    <xf numFmtId="4" fontId="38" fillId="22" borderId="84" applyNumberFormat="0" applyProtection="0">
      <alignment horizontal="right" vertical="center"/>
    </xf>
    <xf numFmtId="0" fontId="2" fillId="0" borderId="57">
      <alignment horizontal="left" vertical="center"/>
    </xf>
    <xf numFmtId="4" fontId="38" fillId="23" borderId="84" applyNumberFormat="0" applyProtection="0">
      <alignment horizontal="right" vertical="center"/>
    </xf>
    <xf numFmtId="4" fontId="38" fillId="30" borderId="84" applyNumberFormat="0" applyProtection="0">
      <alignment horizontal="left" vertical="center" indent="1"/>
    </xf>
    <xf numFmtId="4" fontId="38" fillId="18" borderId="84" applyNumberFormat="0" applyProtection="0">
      <alignment vertical="center"/>
    </xf>
    <xf numFmtId="4" fontId="64" fillId="18" borderId="84" applyNumberFormat="0" applyProtection="0">
      <alignment vertical="center"/>
    </xf>
    <xf numFmtId="4" fontId="38" fillId="18" borderId="84" applyNumberFormat="0" applyProtection="0">
      <alignment horizontal="left" vertical="center" indent="1"/>
    </xf>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38" fillId="21" borderId="84" applyNumberFormat="0" applyProtection="0">
      <alignment horizontal="right" vertical="center"/>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5" fillId="44" borderId="81" applyNumberFormat="0" applyProtection="0">
      <alignment horizontal="left" vertical="top" indent="1"/>
    </xf>
    <xf numFmtId="0" fontId="5" fillId="60" borderId="81" applyNumberFormat="0" applyProtection="0">
      <alignment horizontal="left" vertical="top" indent="1"/>
    </xf>
    <xf numFmtId="4" fontId="38" fillId="20" borderId="84" applyNumberFormat="0" applyProtection="0">
      <alignment horizontal="right" vertical="center"/>
    </xf>
    <xf numFmtId="0" fontId="2" fillId="0" borderId="57">
      <alignment horizontal="lef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94" fillId="58" borderId="58" applyNumberFormat="0" applyFont="0" applyAlignment="0" applyProtection="0"/>
    <xf numFmtId="0" fontId="5" fillId="44" borderId="81" applyNumberFormat="0" applyProtection="0">
      <alignment horizontal="left" vertical="top" indent="1"/>
    </xf>
    <xf numFmtId="0" fontId="5" fillId="60" borderId="81" applyNumberFormat="0" applyProtection="0">
      <alignment horizontal="left" vertical="top" indent="1"/>
    </xf>
    <xf numFmtId="4" fontId="38" fillId="28" borderId="84" applyNumberFormat="0" applyProtection="0">
      <alignment horizontal="right" vertical="center"/>
    </xf>
    <xf numFmtId="0" fontId="94" fillId="58" borderId="58" applyNumberFormat="0" applyFont="0" applyAlignment="0" applyProtection="0"/>
    <xf numFmtId="4" fontId="38" fillId="27" borderId="84" applyNumberFormat="0" applyProtection="0">
      <alignment horizontal="right" vertical="center"/>
    </xf>
    <xf numFmtId="4" fontId="38" fillId="24" borderId="84" applyNumberFormat="0" applyProtection="0">
      <alignment horizontal="right" vertical="center"/>
    </xf>
    <xf numFmtId="4" fontId="65" fillId="29" borderId="84" applyNumberFormat="0" applyProtection="0">
      <alignment horizontal="left" vertical="center" indent="1"/>
    </xf>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94" fillId="58" borderId="58" applyNumberFormat="0" applyFont="0" applyAlignment="0" applyProtection="0"/>
    <xf numFmtId="0" fontId="5" fillId="44" borderId="81" applyNumberFormat="0" applyProtection="0">
      <alignment horizontal="left" vertical="top" indent="1"/>
    </xf>
    <xf numFmtId="0" fontId="5" fillId="60" borderId="81" applyNumberFormat="0" applyProtection="0">
      <alignment horizontal="left" vertical="top" indent="1"/>
    </xf>
    <xf numFmtId="0" fontId="94" fillId="58" borderId="58" applyNumberFormat="0" applyFont="0" applyAlignment="0" applyProtection="0"/>
    <xf numFmtId="0" fontId="1" fillId="58" borderId="58" applyNumberFormat="0" applyFont="0" applyAlignment="0" applyProtection="0"/>
    <xf numFmtId="0" fontId="107" fillId="34" borderId="84" applyNumberFormat="0" applyAlignment="0" applyProtection="0"/>
    <xf numFmtId="0" fontId="109" fillId="0" borderId="85" applyNumberFormat="0" applyFill="0" applyAlignment="0" applyProtection="0"/>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165" fontId="1" fillId="0" borderId="0" applyFont="0" applyFill="0" applyBorder="0" applyAlignment="0" applyProtection="0"/>
    <xf numFmtId="165" fontId="1" fillId="0" borderId="0" applyFont="0" applyFill="0" applyBorder="0" applyAlignment="0" applyProtection="0"/>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94" fillId="58" borderId="58" applyNumberFormat="0" applyFont="0" applyAlignment="0" applyProtection="0"/>
    <xf numFmtId="0" fontId="5" fillId="44" borderId="81" applyNumberFormat="0" applyProtection="0">
      <alignment horizontal="left" vertical="top" indent="1"/>
    </xf>
    <xf numFmtId="0" fontId="5" fillId="60" borderId="81" applyNumberFormat="0" applyProtection="0">
      <alignment horizontal="left" vertical="top" indent="1"/>
    </xf>
    <xf numFmtId="0" fontId="94" fillId="58" borderId="58" applyNumberFormat="0" applyFont="0" applyAlignment="0" applyProtection="0"/>
    <xf numFmtId="165" fontId="11" fillId="0" borderId="0" applyFont="0" applyFill="0" applyBorder="0" applyAlignment="0" applyProtection="0"/>
    <xf numFmtId="165" fontId="11" fillId="0" borderId="0" applyFont="0" applyFill="0" applyBorder="0" applyAlignment="0" applyProtection="0"/>
    <xf numFmtId="165" fontId="94" fillId="0" borderId="0" applyFont="0" applyFill="0" applyBorder="0" applyAlignment="0" applyProtection="0"/>
    <xf numFmtId="165" fontId="1" fillId="0" borderId="0" applyFont="0" applyFill="0" applyBorder="0" applyAlignment="0" applyProtection="0"/>
    <xf numFmtId="4" fontId="38" fillId="3" borderId="84" applyNumberFormat="0" applyProtection="0">
      <alignment horizontal="left" vertical="center" indent="1"/>
    </xf>
    <xf numFmtId="0" fontId="1" fillId="33" borderId="84" applyNumberFormat="0" applyProtection="0">
      <alignment horizontal="left" vertical="center" indent="1"/>
    </xf>
    <xf numFmtId="4" fontId="68" fillId="30" borderId="84" applyNumberFormat="0" applyProtection="0">
      <alignment horizontal="righ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4" fontId="64" fillId="30" borderId="84" applyNumberFormat="0" applyProtection="0">
      <alignment horizontal="right" vertical="center"/>
    </xf>
    <xf numFmtId="4" fontId="38" fillId="30" borderId="84" applyNumberFormat="0" applyProtection="0">
      <alignment horizontal="right" vertical="center"/>
    </xf>
    <xf numFmtId="4" fontId="38" fillId="3" borderId="84" applyNumberFormat="0" applyProtection="0">
      <alignment horizontal="left" vertical="center" indent="1"/>
    </xf>
    <xf numFmtId="4" fontId="64" fillId="3" borderId="84" applyNumberFormat="0" applyProtection="0">
      <alignment vertical="center"/>
    </xf>
    <xf numFmtId="4" fontId="38" fillId="3" borderId="84" applyNumberFormat="0" applyProtection="0">
      <alignmen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0" fontId="1" fillId="2" borderId="84" applyNumberFormat="0" applyProtection="0">
      <alignment horizontal="left" vertical="center" indent="1"/>
    </xf>
    <xf numFmtId="0" fontId="1" fillId="2" borderId="84" applyNumberFormat="0" applyProtection="0">
      <alignment horizontal="left" vertical="center" indent="1"/>
    </xf>
    <xf numFmtId="0" fontId="1" fillId="33" borderId="84" applyNumberFormat="0" applyProtection="0">
      <alignment horizontal="left" vertical="center" indent="1"/>
    </xf>
    <xf numFmtId="0" fontId="1" fillId="33" borderId="84" applyNumberFormat="0" applyProtection="0">
      <alignment horizontal="left" vertical="center" indent="1"/>
    </xf>
    <xf numFmtId="0" fontId="1" fillId="32" borderId="84" applyNumberFormat="0" applyProtection="0">
      <alignment horizontal="left" vertical="center" indent="1"/>
    </xf>
    <xf numFmtId="0" fontId="1" fillId="32" borderId="84" applyNumberFormat="0" applyProtection="0">
      <alignment horizontal="left" vertical="center" indent="1"/>
    </xf>
    <xf numFmtId="4" fontId="38" fillId="32" borderId="84" applyNumberFormat="0" applyProtection="0">
      <alignment horizontal="left" vertical="center" indent="1"/>
    </xf>
    <xf numFmtId="4" fontId="38" fillId="30" borderId="84" applyNumberFormat="0" applyProtection="0">
      <alignment horizontal="left" vertical="center" indent="1"/>
    </xf>
    <xf numFmtId="0" fontId="1" fillId="19" borderId="84" applyNumberFormat="0" applyProtection="0">
      <alignment horizontal="left" vertical="center" indent="1"/>
    </xf>
    <xf numFmtId="4" fontId="65" fillId="29" borderId="84" applyNumberFormat="0" applyProtection="0">
      <alignment horizontal="left" vertical="center" indent="1"/>
    </xf>
    <xf numFmtId="4" fontId="38" fillId="23" borderId="84" applyNumberFormat="0" applyProtection="0">
      <alignment horizontal="right" vertical="center"/>
    </xf>
    <xf numFmtId="0" fontId="1" fillId="19" borderId="84" applyNumberFormat="0" applyProtection="0">
      <alignment horizontal="left" vertical="center" indent="1"/>
    </xf>
    <xf numFmtId="4" fontId="38" fillId="18" borderId="84" applyNumberFormat="0" applyProtection="0">
      <alignment horizontal="left" vertical="center" indent="1"/>
    </xf>
    <xf numFmtId="4" fontId="38" fillId="18" borderId="84" applyNumberFormat="0" applyProtection="0">
      <alignment horizontal="left" vertical="center" indent="1"/>
    </xf>
    <xf numFmtId="4" fontId="64" fillId="18" borderId="84" applyNumberFormat="0" applyProtection="0">
      <alignment vertical="center"/>
    </xf>
    <xf numFmtId="4" fontId="38" fillId="18" borderId="84" applyNumberFormat="0" applyProtection="0">
      <alignment vertical="center"/>
    </xf>
    <xf numFmtId="0" fontId="109" fillId="0" borderId="85" applyNumberFormat="0" applyFill="0" applyAlignment="0" applyProtection="0"/>
    <xf numFmtId="0" fontId="107" fillId="34" borderId="84" applyNumberFormat="0" applyAlignment="0" applyProtection="0"/>
    <xf numFmtId="4" fontId="38" fillId="28" borderId="84" applyNumberFormat="0" applyProtection="0">
      <alignment horizontal="right" vertical="center"/>
    </xf>
    <xf numFmtId="0" fontId="97" fillId="34" borderId="50" applyNumberFormat="0" applyAlignment="0" applyProtection="0"/>
    <xf numFmtId="0" fontId="1" fillId="32" borderId="84" applyNumberFormat="0" applyProtection="0">
      <alignment horizontal="left" vertical="center" indent="1"/>
    </xf>
    <xf numFmtId="4" fontId="38" fillId="24" borderId="84" applyNumberFormat="0" applyProtection="0">
      <alignment horizontal="right" vertical="center"/>
    </xf>
    <xf numFmtId="0" fontId="104" fillId="43" borderId="50" applyNumberFormat="0" applyAlignment="0" applyProtection="0"/>
    <xf numFmtId="4" fontId="38" fillId="26" borderId="84" applyNumberFormat="0" applyProtection="0">
      <alignment horizontal="right" vertical="center"/>
    </xf>
    <xf numFmtId="4" fontId="38" fillId="26" borderId="84" applyNumberFormat="0" applyProtection="0">
      <alignment horizontal="right" vertical="center"/>
    </xf>
    <xf numFmtId="0" fontId="1" fillId="58" borderId="58" applyNumberFormat="0" applyFont="0" applyAlignment="0" applyProtection="0"/>
    <xf numFmtId="4" fontId="38" fillId="27" borderId="84" applyNumberFormat="0" applyProtection="0">
      <alignment horizontal="right" vertical="center"/>
    </xf>
    <xf numFmtId="4" fontId="38" fillId="25" borderId="84" applyNumberFormat="0" applyProtection="0">
      <alignment horizontal="right" vertical="center"/>
    </xf>
    <xf numFmtId="4" fontId="38" fillId="22" borderId="84" applyNumberFormat="0" applyProtection="0">
      <alignment horizontal="right" vertical="center"/>
    </xf>
    <xf numFmtId="0" fontId="1" fillId="19" borderId="84" applyNumberFormat="0" applyProtection="0">
      <alignment horizontal="left" vertical="center" indent="1"/>
    </xf>
    <xf numFmtId="0" fontId="1" fillId="58" borderId="58" applyNumberFormat="0" applyFont="0" applyAlignment="0" applyProtection="0"/>
    <xf numFmtId="5" fontId="55" fillId="0" borderId="48">
      <alignment horizontal="left" vertical="top"/>
    </xf>
    <xf numFmtId="0" fontId="1" fillId="19" borderId="84" applyNumberFormat="0" applyProtection="0">
      <alignment horizontal="left" vertical="center" indent="1"/>
    </xf>
    <xf numFmtId="4" fontId="38" fillId="32" borderId="84" applyNumberFormat="0" applyProtection="0">
      <alignment horizontal="left" vertical="center" indent="1"/>
    </xf>
    <xf numFmtId="0" fontId="1" fillId="32" borderId="84" applyNumberFormat="0" applyProtection="0">
      <alignment horizontal="left" vertical="center" indent="1"/>
    </xf>
    <xf numFmtId="0" fontId="1" fillId="2" borderId="84" applyNumberFormat="0" applyProtection="0">
      <alignment horizontal="left" vertical="center" indent="1"/>
    </xf>
    <xf numFmtId="4" fontId="38" fillId="3" borderId="84" applyNumberFormat="0" applyProtection="0">
      <alignment horizontal="left" vertical="center" indent="1"/>
    </xf>
    <xf numFmtId="0" fontId="107" fillId="34" borderId="84" applyNumberFormat="0" applyAlignment="0" applyProtection="0"/>
    <xf numFmtId="0" fontId="109" fillId="0" borderId="85" applyNumberFormat="0" applyFill="0" applyAlignment="0" applyProtection="0"/>
    <xf numFmtId="4" fontId="5" fillId="59" borderId="55" applyNumberFormat="0" applyProtection="0">
      <alignment horizontal="right" vertical="center"/>
    </xf>
    <xf numFmtId="0" fontId="5" fillId="34" borderId="55" applyNumberFormat="0" applyProtection="0">
      <alignment horizontal="left" vertical="center" indent="1"/>
    </xf>
    <xf numFmtId="0" fontId="5" fillId="44" borderId="81" applyNumberFormat="0" applyProtection="0">
      <alignment horizontal="left" vertical="top" indent="1"/>
    </xf>
    <xf numFmtId="0" fontId="5" fillId="59" borderId="81" applyNumberFormat="0" applyProtection="0">
      <alignment horizontal="left" vertical="top" indent="1"/>
    </xf>
    <xf numFmtId="0" fontId="5" fillId="60" borderId="81" applyNumberFormat="0" applyProtection="0">
      <alignment horizontal="left" vertical="top" indent="1"/>
    </xf>
    <xf numFmtId="4" fontId="5" fillId="50" borderId="55" applyNumberFormat="0" applyProtection="0">
      <alignment horizontal="left" vertical="center" indent="1"/>
    </xf>
    <xf numFmtId="4" fontId="111" fillId="15" borderId="55" applyNumberFormat="0" applyProtection="0">
      <alignment horizontal="right" vertical="center"/>
    </xf>
    <xf numFmtId="4" fontId="5" fillId="0" borderId="55" applyNumberFormat="0" applyProtection="0">
      <alignment horizontal="right" vertical="center"/>
    </xf>
    <xf numFmtId="4" fontId="38" fillId="25" borderId="84" applyNumberFormat="0" applyProtection="0">
      <alignment horizontal="right" vertical="center"/>
    </xf>
    <xf numFmtId="6" fontId="79" fillId="36" borderId="48"/>
    <xf numFmtId="5" fontId="77" fillId="30" borderId="48">
      <alignment vertical="top"/>
    </xf>
    <xf numFmtId="0" fontId="1" fillId="33" borderId="84" applyNumberFormat="0" applyProtection="0">
      <alignment horizontal="left" vertical="center" indent="1"/>
    </xf>
    <xf numFmtId="0" fontId="1" fillId="2" borderId="84" applyNumberFormat="0" applyProtection="0">
      <alignment horizontal="left" vertical="center" indent="1"/>
    </xf>
    <xf numFmtId="0" fontId="1" fillId="19" borderId="84" applyNumberFormat="0" applyProtection="0">
      <alignment horizontal="left" vertical="center" indent="1"/>
    </xf>
    <xf numFmtId="0" fontId="1" fillId="19" borderId="84" applyNumberFormat="0" applyProtection="0">
      <alignment horizontal="left" vertical="center" indent="1"/>
    </xf>
    <xf numFmtId="4" fontId="38" fillId="3" borderId="84" applyNumberFormat="0" applyProtection="0">
      <alignment vertical="center"/>
    </xf>
    <xf numFmtId="4" fontId="64" fillId="3" borderId="84" applyNumberFormat="0" applyProtection="0">
      <alignment vertical="center"/>
    </xf>
    <xf numFmtId="4" fontId="38" fillId="3" borderId="84" applyNumberFormat="0" applyProtection="0">
      <alignment horizontal="left" vertical="center" indent="1"/>
    </xf>
    <xf numFmtId="4" fontId="38" fillId="30" borderId="84" applyNumberFormat="0" applyProtection="0">
      <alignment horizontal="right" vertical="center"/>
    </xf>
    <xf numFmtId="4" fontId="64" fillId="30" borderId="84" applyNumberFormat="0" applyProtection="0">
      <alignment horizontal="right" vertical="center"/>
    </xf>
    <xf numFmtId="0" fontId="1" fillId="19" borderId="84" applyNumberFormat="0" applyProtection="0">
      <alignment horizontal="left" vertical="center" indent="1"/>
    </xf>
    <xf numFmtId="4" fontId="68" fillId="30" borderId="84" applyNumberFormat="0" applyProtection="0">
      <alignment horizontal="right" vertical="center"/>
    </xf>
    <xf numFmtId="4" fontId="38" fillId="18" borderId="84" applyNumberFormat="0" applyProtection="0">
      <alignment horizontal="left" vertical="center" indent="1"/>
    </xf>
    <xf numFmtId="0" fontId="1" fillId="19" borderId="84" applyNumberFormat="0" applyProtection="0">
      <alignment horizontal="left" vertical="center" indent="1"/>
    </xf>
    <xf numFmtId="4" fontId="38" fillId="20" borderId="84" applyNumberFormat="0" applyProtection="0">
      <alignment horizontal="right" vertical="center"/>
    </xf>
    <xf numFmtId="4" fontId="38" fillId="21" borderId="84" applyNumberFormat="0" applyProtection="0">
      <alignment horizontal="right" vertical="center"/>
    </xf>
    <xf numFmtId="4" fontId="38" fillId="22" borderId="84" applyNumberFormat="0" applyProtection="0">
      <alignment horizontal="right" vertical="center"/>
    </xf>
    <xf numFmtId="0" fontId="2" fillId="0" borderId="57">
      <alignment horizontal="left" vertical="center"/>
    </xf>
    <xf numFmtId="4" fontId="38" fillId="23" borderId="84" applyNumberFormat="0" applyProtection="0">
      <alignment horizontal="right" vertical="center"/>
    </xf>
    <xf numFmtId="4" fontId="38" fillId="30" borderId="84" applyNumberFormat="0" applyProtection="0">
      <alignment horizontal="left" vertical="center" indent="1"/>
    </xf>
    <xf numFmtId="4" fontId="38" fillId="18" borderId="84" applyNumberFormat="0" applyProtection="0">
      <alignment vertical="center"/>
    </xf>
    <xf numFmtId="4" fontId="64" fillId="18" borderId="84" applyNumberFormat="0" applyProtection="0">
      <alignment vertical="center"/>
    </xf>
    <xf numFmtId="4" fontId="38" fillId="18" borderId="84" applyNumberFormat="0" applyProtection="0">
      <alignment horizontal="left" vertical="center" indent="1"/>
    </xf>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38" fillId="21" borderId="84" applyNumberFormat="0" applyProtection="0">
      <alignment horizontal="right" vertical="center"/>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5" fillId="44" borderId="81" applyNumberFormat="0" applyProtection="0">
      <alignment horizontal="left" vertical="top" indent="1"/>
    </xf>
    <xf numFmtId="0" fontId="5" fillId="60" borderId="81" applyNumberFormat="0" applyProtection="0">
      <alignment horizontal="left" vertical="top" indent="1"/>
    </xf>
    <xf numFmtId="4" fontId="38" fillId="20" borderId="84" applyNumberFormat="0" applyProtection="0">
      <alignment horizontal="right" vertical="center"/>
    </xf>
    <xf numFmtId="0" fontId="2" fillId="0" borderId="57">
      <alignment horizontal="lef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94" fillId="58" borderId="58" applyNumberFormat="0" applyFont="0" applyAlignment="0" applyProtection="0"/>
    <xf numFmtId="0" fontId="5" fillId="44" borderId="81" applyNumberFormat="0" applyProtection="0">
      <alignment horizontal="left" vertical="top" indent="1"/>
    </xf>
    <xf numFmtId="0" fontId="5" fillId="60" borderId="81" applyNumberFormat="0" applyProtection="0">
      <alignment horizontal="left" vertical="top" indent="1"/>
    </xf>
    <xf numFmtId="4" fontId="38" fillId="28" borderId="84" applyNumberFormat="0" applyProtection="0">
      <alignment horizontal="right" vertical="center"/>
    </xf>
    <xf numFmtId="0" fontId="94" fillId="58" borderId="58" applyNumberFormat="0" applyFont="0" applyAlignment="0" applyProtection="0"/>
    <xf numFmtId="4" fontId="38" fillId="27" borderId="84" applyNumberFormat="0" applyProtection="0">
      <alignment horizontal="right" vertical="center"/>
    </xf>
    <xf numFmtId="4" fontId="38" fillId="24" borderId="84" applyNumberFormat="0" applyProtection="0">
      <alignment horizontal="right" vertical="center"/>
    </xf>
    <xf numFmtId="4" fontId="65" fillId="29" borderId="84" applyNumberFormat="0" applyProtection="0">
      <alignment horizontal="left" vertical="center" indent="1"/>
    </xf>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94" fillId="58" borderId="58" applyNumberFormat="0" applyFont="0" applyAlignment="0" applyProtection="0"/>
    <xf numFmtId="0" fontId="5" fillId="44" borderId="81" applyNumberFormat="0" applyProtection="0">
      <alignment horizontal="left" vertical="top" indent="1"/>
    </xf>
    <xf numFmtId="0" fontId="5" fillId="60" borderId="81" applyNumberFormat="0" applyProtection="0">
      <alignment horizontal="left" vertical="top" indent="1"/>
    </xf>
    <xf numFmtId="0" fontId="94" fillId="58" borderId="58" applyNumberFormat="0" applyFont="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0" fontId="94" fillId="58" borderId="58" applyNumberFormat="0" applyFont="0" applyAlignment="0" applyProtection="0"/>
    <xf numFmtId="0" fontId="5" fillId="44" borderId="81" applyNumberFormat="0" applyProtection="0">
      <alignment horizontal="left" vertical="top" indent="1"/>
    </xf>
    <xf numFmtId="0" fontId="5" fillId="60" borderId="81" applyNumberFormat="0" applyProtection="0">
      <alignment horizontal="left" vertical="top" indent="1"/>
    </xf>
    <xf numFmtId="4" fontId="38" fillId="32" borderId="84" applyNumberFormat="0" applyProtection="0">
      <alignment horizontal="left" vertical="center" indent="1"/>
    </xf>
    <xf numFmtId="4" fontId="38" fillId="26" borderId="84" applyNumberFormat="0" applyProtection="0">
      <alignment horizontal="right" vertical="center"/>
    </xf>
    <xf numFmtId="4" fontId="38" fillId="18" borderId="84" applyNumberFormat="0" applyProtection="0">
      <alignment vertical="center"/>
    </xf>
    <xf numFmtId="4" fontId="64" fillId="18" borderId="84" applyNumberFormat="0" applyProtection="0">
      <alignment vertical="center"/>
    </xf>
    <xf numFmtId="4" fontId="38" fillId="18" borderId="84" applyNumberFormat="0" applyProtection="0">
      <alignment horizontal="left" vertical="center" indent="1"/>
    </xf>
    <xf numFmtId="4" fontId="38" fillId="18" borderId="84" applyNumberFormat="0" applyProtection="0">
      <alignment horizontal="left" vertical="center" indent="1"/>
    </xf>
    <xf numFmtId="0" fontId="1" fillId="19" borderId="84" applyNumberFormat="0" applyProtection="0">
      <alignment horizontal="left" vertical="center" indent="1"/>
    </xf>
    <xf numFmtId="4" fontId="38" fillId="20" borderId="84" applyNumberFormat="0" applyProtection="0">
      <alignment horizontal="right" vertical="center"/>
    </xf>
    <xf numFmtId="4" fontId="38" fillId="21" borderId="84" applyNumberFormat="0" applyProtection="0">
      <alignment horizontal="right" vertical="center"/>
    </xf>
    <xf numFmtId="4" fontId="38" fillId="22" borderId="84" applyNumberFormat="0" applyProtection="0">
      <alignment horizontal="right" vertical="center"/>
    </xf>
    <xf numFmtId="4" fontId="38" fillId="23" borderId="84" applyNumberFormat="0" applyProtection="0">
      <alignment horizontal="right" vertical="center"/>
    </xf>
    <xf numFmtId="4" fontId="38" fillId="24" borderId="84" applyNumberFormat="0" applyProtection="0">
      <alignment horizontal="right" vertical="center"/>
    </xf>
    <xf numFmtId="4" fontId="38" fillId="25" borderId="84" applyNumberFormat="0" applyProtection="0">
      <alignment horizontal="right" vertical="center"/>
    </xf>
    <xf numFmtId="4" fontId="38" fillId="26" borderId="84" applyNumberFormat="0" applyProtection="0">
      <alignment horizontal="right" vertical="center"/>
    </xf>
    <xf numFmtId="4" fontId="38" fillId="27" borderId="84" applyNumberFormat="0" applyProtection="0">
      <alignment horizontal="right" vertical="center"/>
    </xf>
    <xf numFmtId="4" fontId="38" fillId="28" borderId="84" applyNumberFormat="0" applyProtection="0">
      <alignment horizontal="right" vertical="center"/>
    </xf>
    <xf numFmtId="4" fontId="65" fillId="29" borderId="84" applyNumberFormat="0" applyProtection="0">
      <alignment horizontal="left" vertical="center" indent="1"/>
    </xf>
    <xf numFmtId="0" fontId="1" fillId="19" borderId="84" applyNumberFormat="0" applyProtection="0">
      <alignment horizontal="left" vertical="center" indent="1"/>
    </xf>
    <xf numFmtId="4" fontId="38" fillId="30" borderId="84" applyNumberFormat="0" applyProtection="0">
      <alignment horizontal="left" vertical="center" indent="1"/>
    </xf>
    <xf numFmtId="4" fontId="38" fillId="32" borderId="84" applyNumberFormat="0" applyProtection="0">
      <alignment horizontal="left" vertical="center" indent="1"/>
    </xf>
    <xf numFmtId="0" fontId="1" fillId="32" borderId="84" applyNumberFormat="0" applyProtection="0">
      <alignment horizontal="left" vertical="center" indent="1"/>
    </xf>
    <xf numFmtId="0" fontId="1" fillId="32" borderId="84" applyNumberFormat="0" applyProtection="0">
      <alignment horizontal="left" vertical="center" indent="1"/>
    </xf>
    <xf numFmtId="0" fontId="1" fillId="33" borderId="84" applyNumberFormat="0" applyProtection="0">
      <alignment horizontal="left" vertical="center" indent="1"/>
    </xf>
    <xf numFmtId="0" fontId="1" fillId="33" borderId="84" applyNumberFormat="0" applyProtection="0">
      <alignment horizontal="left" vertical="center" indent="1"/>
    </xf>
    <xf numFmtId="0" fontId="1" fillId="2" borderId="84" applyNumberFormat="0" applyProtection="0">
      <alignment horizontal="left" vertical="center" indent="1"/>
    </xf>
    <xf numFmtId="0" fontId="1" fillId="2" borderId="84" applyNumberFormat="0" applyProtection="0">
      <alignment horizontal="left" vertical="center" indent="1"/>
    </xf>
    <xf numFmtId="0" fontId="1" fillId="19" borderId="84" applyNumberFormat="0" applyProtection="0">
      <alignment horizontal="left" vertical="center" indent="1"/>
    </xf>
    <xf numFmtId="0" fontId="1" fillId="19" borderId="84" applyNumberFormat="0" applyProtection="0">
      <alignment horizontal="left" vertical="center" indent="1"/>
    </xf>
    <xf numFmtId="4" fontId="38" fillId="3" borderId="84" applyNumberFormat="0" applyProtection="0">
      <alignment vertical="center"/>
    </xf>
    <xf numFmtId="4" fontId="64" fillId="3" borderId="84" applyNumberFormat="0" applyProtection="0">
      <alignment vertical="center"/>
    </xf>
    <xf numFmtId="4" fontId="38" fillId="3" borderId="84" applyNumberFormat="0" applyProtection="0">
      <alignment horizontal="left" vertical="center" indent="1"/>
    </xf>
    <xf numFmtId="4" fontId="38" fillId="3" borderId="84" applyNumberFormat="0" applyProtection="0">
      <alignment horizontal="left" vertical="center" indent="1"/>
    </xf>
    <xf numFmtId="4" fontId="38" fillId="30" borderId="84" applyNumberFormat="0" applyProtection="0">
      <alignment horizontal="right" vertical="center"/>
    </xf>
    <xf numFmtId="4" fontId="64" fillId="30" borderId="84" applyNumberFormat="0" applyProtection="0">
      <alignment horizontal="righ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4" fontId="68" fillId="30" borderId="84" applyNumberFormat="0" applyProtection="0">
      <alignment horizontal="right" vertical="center"/>
    </xf>
    <xf numFmtId="5" fontId="77" fillId="30" borderId="48">
      <alignment vertical="top"/>
    </xf>
    <xf numFmtId="6" fontId="79" fillId="36" borderId="48"/>
    <xf numFmtId="5" fontId="55" fillId="0" borderId="48">
      <alignment horizontal="left" vertical="top"/>
    </xf>
    <xf numFmtId="0" fontId="97" fillId="34" borderId="50" applyNumberFormat="0" applyAlignment="0" applyProtection="0"/>
    <xf numFmtId="165" fontId="29" fillId="0" borderId="0" applyFont="0" applyFill="0" applyBorder="0" applyAlignment="0" applyProtection="0"/>
    <xf numFmtId="0" fontId="1" fillId="19" borderId="84" applyNumberFormat="0" applyProtection="0">
      <alignment horizontal="left" vertical="center" indent="1"/>
    </xf>
    <xf numFmtId="0" fontId="104" fillId="43" borderId="50" applyNumberFormat="0" applyAlignment="0" applyProtection="0"/>
    <xf numFmtId="0" fontId="1" fillId="19" borderId="84" applyNumberFormat="0" applyProtection="0">
      <alignment horizontal="left" vertical="center" indent="1"/>
    </xf>
    <xf numFmtId="0" fontId="94" fillId="58" borderId="58" applyNumberFormat="0" applyFont="0" applyAlignment="0" applyProtection="0"/>
    <xf numFmtId="0" fontId="1" fillId="58" borderId="58" applyNumberFormat="0" applyFont="0" applyAlignment="0" applyProtection="0"/>
    <xf numFmtId="0" fontId="107" fillId="34" borderId="84" applyNumberFormat="0" applyAlignment="0" applyProtection="0"/>
    <xf numFmtId="0" fontId="109" fillId="0" borderId="85" applyNumberFormat="0" applyFill="0" applyAlignment="0" applyProtection="0"/>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94" fillId="58" borderId="58" applyNumberFormat="0" applyFont="0" applyAlignment="0" applyProtection="0"/>
    <xf numFmtId="0" fontId="5" fillId="44" borderId="81" applyNumberFormat="0" applyProtection="0">
      <alignment horizontal="left" vertical="top" indent="1"/>
    </xf>
    <xf numFmtId="0" fontId="5" fillId="60" borderId="81" applyNumberFormat="0" applyProtection="0">
      <alignment horizontal="left" vertical="top" indent="1"/>
    </xf>
    <xf numFmtId="0" fontId="94" fillId="58" borderId="58" applyNumberFormat="0" applyFont="0" applyAlignment="0" applyProtection="0"/>
    <xf numFmtId="4" fontId="5" fillId="59" borderId="55" applyNumberFormat="0" applyProtection="0">
      <alignment horizontal="right" vertical="center"/>
    </xf>
    <xf numFmtId="4" fontId="38" fillId="3" borderId="84" applyNumberFormat="0" applyProtection="0">
      <alignment horizontal="left" vertical="center" indent="1"/>
    </xf>
    <xf numFmtId="0" fontId="1" fillId="33" borderId="84" applyNumberFormat="0" applyProtection="0">
      <alignment horizontal="left" vertical="center" indent="1"/>
    </xf>
    <xf numFmtId="4" fontId="68" fillId="30" borderId="84" applyNumberFormat="0" applyProtection="0">
      <alignment horizontal="righ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4" fontId="64" fillId="30" borderId="84" applyNumberFormat="0" applyProtection="0">
      <alignment horizontal="right" vertical="center"/>
    </xf>
    <xf numFmtId="4" fontId="38" fillId="30" borderId="84" applyNumberFormat="0" applyProtection="0">
      <alignment horizontal="right" vertical="center"/>
    </xf>
    <xf numFmtId="4" fontId="38" fillId="3" borderId="84" applyNumberFormat="0" applyProtection="0">
      <alignment horizontal="left" vertical="center" indent="1"/>
    </xf>
    <xf numFmtId="4" fontId="64" fillId="3" borderId="84" applyNumberFormat="0" applyProtection="0">
      <alignment vertical="center"/>
    </xf>
    <xf numFmtId="4" fontId="38" fillId="3" borderId="84" applyNumberFormat="0" applyProtection="0">
      <alignmen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0" fontId="1" fillId="2" borderId="84" applyNumberFormat="0" applyProtection="0">
      <alignment horizontal="left" vertical="center" indent="1"/>
    </xf>
    <xf numFmtId="0" fontId="1" fillId="2" borderId="84" applyNumberFormat="0" applyProtection="0">
      <alignment horizontal="left" vertical="center" indent="1"/>
    </xf>
    <xf numFmtId="0" fontId="1" fillId="33" borderId="84" applyNumberFormat="0" applyProtection="0">
      <alignment horizontal="left" vertical="center" indent="1"/>
    </xf>
    <xf numFmtId="0" fontId="1" fillId="33" borderId="84" applyNumberFormat="0" applyProtection="0">
      <alignment horizontal="left" vertical="center" indent="1"/>
    </xf>
    <xf numFmtId="0" fontId="1" fillId="32" borderId="84" applyNumberFormat="0" applyProtection="0">
      <alignment horizontal="left" vertical="center" indent="1"/>
    </xf>
    <xf numFmtId="0" fontId="1" fillId="32" borderId="84" applyNumberFormat="0" applyProtection="0">
      <alignment horizontal="left" vertical="center" indent="1"/>
    </xf>
    <xf numFmtId="4" fontId="38" fillId="32" borderId="84" applyNumberFormat="0" applyProtection="0">
      <alignment horizontal="left" vertical="center" indent="1"/>
    </xf>
    <xf numFmtId="4" fontId="38" fillId="30" borderId="84" applyNumberFormat="0" applyProtection="0">
      <alignment horizontal="left" vertical="center" indent="1"/>
    </xf>
    <xf numFmtId="0" fontId="1" fillId="19" borderId="84" applyNumberFormat="0" applyProtection="0">
      <alignment horizontal="left" vertical="center" indent="1"/>
    </xf>
    <xf numFmtId="4" fontId="65" fillId="29" borderId="84" applyNumberFormat="0" applyProtection="0">
      <alignment horizontal="left" vertical="center" indent="1"/>
    </xf>
    <xf numFmtId="4" fontId="38" fillId="23" borderId="84" applyNumberFormat="0" applyProtection="0">
      <alignment horizontal="right" vertical="center"/>
    </xf>
    <xf numFmtId="0" fontId="1" fillId="19" borderId="84" applyNumberFormat="0" applyProtection="0">
      <alignment horizontal="left" vertical="center" indent="1"/>
    </xf>
    <xf numFmtId="4" fontId="38" fillId="18" borderId="84" applyNumberFormat="0" applyProtection="0">
      <alignment horizontal="left" vertical="center" indent="1"/>
    </xf>
    <xf numFmtId="4" fontId="38" fillId="18" borderId="84" applyNumberFormat="0" applyProtection="0">
      <alignment horizontal="left" vertical="center" indent="1"/>
    </xf>
    <xf numFmtId="4" fontId="64" fillId="18" borderId="84" applyNumberFormat="0" applyProtection="0">
      <alignment vertical="center"/>
    </xf>
    <xf numFmtId="4" fontId="38" fillId="18" borderId="84" applyNumberFormat="0" applyProtection="0">
      <alignment vertical="center"/>
    </xf>
    <xf numFmtId="0" fontId="109" fillId="0" borderId="85" applyNumberFormat="0" applyFill="0" applyAlignment="0" applyProtection="0"/>
    <xf numFmtId="0" fontId="107" fillId="34" borderId="84" applyNumberFormat="0" applyAlignment="0" applyProtection="0"/>
    <xf numFmtId="4" fontId="38" fillId="28" borderId="84" applyNumberFormat="0" applyProtection="0">
      <alignment horizontal="right" vertical="center"/>
    </xf>
    <xf numFmtId="0" fontId="97" fillId="34" borderId="50" applyNumberFormat="0" applyAlignment="0" applyProtection="0"/>
    <xf numFmtId="0" fontId="1" fillId="32" borderId="84" applyNumberFormat="0" applyProtection="0">
      <alignment horizontal="left" vertical="center" indent="1"/>
    </xf>
    <xf numFmtId="4" fontId="38" fillId="24" borderId="84" applyNumberFormat="0" applyProtection="0">
      <alignment horizontal="right" vertical="center"/>
    </xf>
    <xf numFmtId="0" fontId="104" fillId="43" borderId="50" applyNumberFormat="0" applyAlignment="0" applyProtection="0"/>
    <xf numFmtId="4" fontId="38" fillId="26" borderId="84" applyNumberFormat="0" applyProtection="0">
      <alignment horizontal="right" vertical="center"/>
    </xf>
    <xf numFmtId="4" fontId="38" fillId="26" borderId="84" applyNumberFormat="0" applyProtection="0">
      <alignment horizontal="right" vertical="center"/>
    </xf>
    <xf numFmtId="0" fontId="1" fillId="58" borderId="58" applyNumberFormat="0" applyFont="0" applyAlignment="0" applyProtection="0"/>
    <xf numFmtId="4" fontId="38" fillId="27" borderId="84" applyNumberFormat="0" applyProtection="0">
      <alignment horizontal="right" vertical="center"/>
    </xf>
    <xf numFmtId="4" fontId="38" fillId="25" borderId="84" applyNumberFormat="0" applyProtection="0">
      <alignment horizontal="right" vertical="center"/>
    </xf>
    <xf numFmtId="4" fontId="38" fillId="22" borderId="84" applyNumberFormat="0" applyProtection="0">
      <alignment horizontal="right" vertical="center"/>
    </xf>
    <xf numFmtId="0" fontId="1" fillId="19" borderId="84" applyNumberFormat="0" applyProtection="0">
      <alignment horizontal="left" vertical="center" indent="1"/>
    </xf>
    <xf numFmtId="0" fontId="1" fillId="58" borderId="58" applyNumberFormat="0" applyFont="0" applyAlignment="0" applyProtection="0"/>
    <xf numFmtId="5" fontId="55" fillId="0" borderId="48">
      <alignment horizontal="left" vertical="top"/>
    </xf>
    <xf numFmtId="0" fontId="1" fillId="19" borderId="84" applyNumberFormat="0" applyProtection="0">
      <alignment horizontal="left" vertical="center" indent="1"/>
    </xf>
    <xf numFmtId="4" fontId="38" fillId="32" borderId="84" applyNumberFormat="0" applyProtection="0">
      <alignment horizontal="left" vertical="center" indent="1"/>
    </xf>
    <xf numFmtId="0" fontId="1" fillId="32" borderId="84" applyNumberFormat="0" applyProtection="0">
      <alignment horizontal="left" vertical="center" indent="1"/>
    </xf>
    <xf numFmtId="0" fontId="1" fillId="2" borderId="84" applyNumberFormat="0" applyProtection="0">
      <alignment horizontal="left" vertical="center" indent="1"/>
    </xf>
    <xf numFmtId="4" fontId="38" fillId="3" borderId="84" applyNumberFormat="0" applyProtection="0">
      <alignment horizontal="left" vertical="center" indent="1"/>
    </xf>
    <xf numFmtId="0" fontId="107" fillId="34" borderId="84" applyNumberFormat="0" applyAlignment="0" applyProtection="0"/>
    <xf numFmtId="0" fontId="109" fillId="0" borderId="85" applyNumberFormat="0" applyFill="0" applyAlignment="0" applyProtection="0"/>
    <xf numFmtId="4" fontId="5" fillId="59" borderId="55" applyNumberFormat="0" applyProtection="0">
      <alignment horizontal="right" vertical="center"/>
    </xf>
    <xf numFmtId="0" fontId="5" fillId="34" borderId="55" applyNumberFormat="0" applyProtection="0">
      <alignment horizontal="left" vertical="center" indent="1"/>
    </xf>
    <xf numFmtId="0" fontId="5" fillId="44" borderId="81" applyNumberFormat="0" applyProtection="0">
      <alignment horizontal="left" vertical="top" indent="1"/>
    </xf>
    <xf numFmtId="0" fontId="5" fillId="59" borderId="81" applyNumberFormat="0" applyProtection="0">
      <alignment horizontal="left" vertical="top" indent="1"/>
    </xf>
    <xf numFmtId="0" fontId="5" fillId="60" borderId="81" applyNumberFormat="0" applyProtection="0">
      <alignment horizontal="left" vertical="top" indent="1"/>
    </xf>
    <xf numFmtId="4" fontId="5" fillId="50" borderId="55" applyNumberFormat="0" applyProtection="0">
      <alignment horizontal="left" vertical="center" indent="1"/>
    </xf>
    <xf numFmtId="4" fontId="111" fillId="15" borderId="55" applyNumberFormat="0" applyProtection="0">
      <alignment horizontal="right" vertical="center"/>
    </xf>
    <xf numFmtId="4" fontId="5" fillId="0" borderId="55" applyNumberFormat="0" applyProtection="0">
      <alignment horizontal="right" vertical="center"/>
    </xf>
    <xf numFmtId="4" fontId="38" fillId="25" borderId="84" applyNumberFormat="0" applyProtection="0">
      <alignment horizontal="right" vertical="center"/>
    </xf>
    <xf numFmtId="6" fontId="79" fillId="36" borderId="48"/>
    <xf numFmtId="5" fontId="77" fillId="30" borderId="48">
      <alignment vertical="top"/>
    </xf>
    <xf numFmtId="0" fontId="1" fillId="33" borderId="84" applyNumberFormat="0" applyProtection="0">
      <alignment horizontal="left" vertical="center" indent="1"/>
    </xf>
    <xf numFmtId="0" fontId="1" fillId="2" borderId="84" applyNumberFormat="0" applyProtection="0">
      <alignment horizontal="left" vertical="center" indent="1"/>
    </xf>
    <xf numFmtId="0" fontId="1" fillId="19" borderId="84" applyNumberFormat="0" applyProtection="0">
      <alignment horizontal="left" vertical="center" indent="1"/>
    </xf>
    <xf numFmtId="0" fontId="1" fillId="19" borderId="84" applyNumberFormat="0" applyProtection="0">
      <alignment horizontal="left" vertical="center" indent="1"/>
    </xf>
    <xf numFmtId="4" fontId="38" fillId="3" borderId="84" applyNumberFormat="0" applyProtection="0">
      <alignment vertical="center"/>
    </xf>
    <xf numFmtId="4" fontId="64" fillId="3" borderId="84" applyNumberFormat="0" applyProtection="0">
      <alignment vertical="center"/>
    </xf>
    <xf numFmtId="4" fontId="38" fillId="3" borderId="84" applyNumberFormat="0" applyProtection="0">
      <alignment horizontal="left" vertical="center" indent="1"/>
    </xf>
    <xf numFmtId="4" fontId="38" fillId="30" borderId="84" applyNumberFormat="0" applyProtection="0">
      <alignment horizontal="right" vertical="center"/>
    </xf>
    <xf numFmtId="4" fontId="64" fillId="30" borderId="84" applyNumberFormat="0" applyProtection="0">
      <alignment horizontal="right" vertical="center"/>
    </xf>
    <xf numFmtId="0" fontId="1" fillId="19" borderId="84" applyNumberFormat="0" applyProtection="0">
      <alignment horizontal="left" vertical="center" indent="1"/>
    </xf>
    <xf numFmtId="4" fontId="68" fillId="30" borderId="84" applyNumberFormat="0" applyProtection="0">
      <alignment horizontal="right" vertical="center"/>
    </xf>
    <xf numFmtId="4" fontId="38" fillId="18" borderId="84" applyNumberFormat="0" applyProtection="0">
      <alignment horizontal="left" vertical="center" indent="1"/>
    </xf>
    <xf numFmtId="0" fontId="1" fillId="19" borderId="84" applyNumberFormat="0" applyProtection="0">
      <alignment horizontal="left" vertical="center" indent="1"/>
    </xf>
    <xf numFmtId="4" fontId="38" fillId="20" borderId="84" applyNumberFormat="0" applyProtection="0">
      <alignment horizontal="right" vertical="center"/>
    </xf>
    <xf numFmtId="4" fontId="38" fillId="21" borderId="84" applyNumberFormat="0" applyProtection="0">
      <alignment horizontal="right" vertical="center"/>
    </xf>
    <xf numFmtId="4" fontId="38" fillId="22" borderId="84" applyNumberFormat="0" applyProtection="0">
      <alignment horizontal="right" vertical="center"/>
    </xf>
    <xf numFmtId="0" fontId="2" fillId="0" borderId="57">
      <alignment horizontal="left" vertical="center"/>
    </xf>
    <xf numFmtId="4" fontId="38" fillId="23" borderId="84" applyNumberFormat="0" applyProtection="0">
      <alignment horizontal="right" vertical="center"/>
    </xf>
    <xf numFmtId="4" fontId="38" fillId="30" borderId="84" applyNumberFormat="0" applyProtection="0">
      <alignment horizontal="left" vertical="center" indent="1"/>
    </xf>
    <xf numFmtId="4" fontId="38" fillId="18" borderId="84" applyNumberFormat="0" applyProtection="0">
      <alignment vertical="center"/>
    </xf>
    <xf numFmtId="4" fontId="64" fillId="18" borderId="84" applyNumberFormat="0" applyProtection="0">
      <alignment vertical="center"/>
    </xf>
    <xf numFmtId="4" fontId="38" fillId="18" borderId="84" applyNumberFormat="0" applyProtection="0">
      <alignment horizontal="left" vertical="center" indent="1"/>
    </xf>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38" fillId="21" borderId="84" applyNumberFormat="0" applyProtection="0">
      <alignment horizontal="right" vertical="center"/>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5" fillId="44" borderId="81" applyNumberFormat="0" applyProtection="0">
      <alignment horizontal="left" vertical="top" indent="1"/>
    </xf>
    <xf numFmtId="0" fontId="5" fillId="60" borderId="81" applyNumberFormat="0" applyProtection="0">
      <alignment horizontal="left" vertical="top" indent="1"/>
    </xf>
    <xf numFmtId="4" fontId="38" fillId="20" borderId="84" applyNumberFormat="0" applyProtection="0">
      <alignment horizontal="right" vertical="center"/>
    </xf>
    <xf numFmtId="0" fontId="2" fillId="0" borderId="57">
      <alignment horizontal="lef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94" fillId="58" borderId="58" applyNumberFormat="0" applyFont="0" applyAlignment="0" applyProtection="0"/>
    <xf numFmtId="0" fontId="5" fillId="44" borderId="81" applyNumberFormat="0" applyProtection="0">
      <alignment horizontal="left" vertical="top" indent="1"/>
    </xf>
    <xf numFmtId="0" fontId="5" fillId="60" borderId="81" applyNumberFormat="0" applyProtection="0">
      <alignment horizontal="left" vertical="top" indent="1"/>
    </xf>
    <xf numFmtId="4" fontId="38" fillId="28" borderId="84" applyNumberFormat="0" applyProtection="0">
      <alignment horizontal="right" vertical="center"/>
    </xf>
    <xf numFmtId="0" fontId="94" fillId="58" borderId="58" applyNumberFormat="0" applyFont="0" applyAlignment="0" applyProtection="0"/>
    <xf numFmtId="4" fontId="38" fillId="27" borderId="84" applyNumberFormat="0" applyProtection="0">
      <alignment horizontal="right" vertical="center"/>
    </xf>
    <xf numFmtId="4" fontId="38" fillId="24" borderId="84" applyNumberFormat="0" applyProtection="0">
      <alignment horizontal="right" vertical="center"/>
    </xf>
    <xf numFmtId="4" fontId="65" fillId="29" borderId="84" applyNumberFormat="0" applyProtection="0">
      <alignment horizontal="left" vertical="center" indent="1"/>
    </xf>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94" fillId="58" borderId="58" applyNumberFormat="0" applyFont="0" applyAlignment="0" applyProtection="0"/>
    <xf numFmtId="0" fontId="5" fillId="44" borderId="81" applyNumberFormat="0" applyProtection="0">
      <alignment horizontal="left" vertical="top" indent="1"/>
    </xf>
    <xf numFmtId="0" fontId="5" fillId="60" borderId="81" applyNumberFormat="0" applyProtection="0">
      <alignment horizontal="left" vertical="top" indent="1"/>
    </xf>
    <xf numFmtId="0" fontId="94" fillId="58" borderId="58" applyNumberFormat="0" applyFont="0" applyAlignment="0" applyProtection="0"/>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38" fillId="30" borderId="84" applyNumberFormat="0" applyProtection="0">
      <alignment horizontal="left" vertical="center" indent="1"/>
    </xf>
    <xf numFmtId="0" fontId="5" fillId="59" borderId="81" applyNumberFormat="0" applyProtection="0">
      <alignment horizontal="left" vertical="top" indent="1"/>
    </xf>
    <xf numFmtId="0" fontId="5" fillId="34" borderId="55" applyNumberFormat="0" applyProtection="0">
      <alignment horizontal="left" vertical="center" indent="1"/>
    </xf>
    <xf numFmtId="4" fontId="5" fillId="0" borderId="55" applyNumberFormat="0" applyProtection="0">
      <alignment horizontal="right" vertical="center"/>
    </xf>
    <xf numFmtId="4" fontId="5" fillId="50" borderId="55" applyNumberFormat="0" applyProtection="0">
      <alignment horizontal="left" vertical="center"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111" fillId="15"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4" fontId="38" fillId="24" borderId="84" applyNumberFormat="0" applyProtection="0">
      <alignment horizontal="right" vertical="center"/>
    </xf>
    <xf numFmtId="0" fontId="107" fillId="34" borderId="84" applyNumberFormat="0" applyAlignment="0" applyProtection="0"/>
    <xf numFmtId="4" fontId="38" fillId="24" borderId="84" applyNumberFormat="0" applyProtection="0">
      <alignment horizontal="right" vertical="center"/>
    </xf>
    <xf numFmtId="4" fontId="38" fillId="23" borderId="84" applyNumberFormat="0" applyProtection="0">
      <alignment horizontal="right" vertical="center"/>
    </xf>
    <xf numFmtId="0" fontId="1" fillId="32" borderId="84" applyNumberFormat="0" applyProtection="0">
      <alignment horizontal="left" vertical="center" indent="1"/>
    </xf>
    <xf numFmtId="5" fontId="77" fillId="30" borderId="48">
      <alignment vertical="top"/>
    </xf>
    <xf numFmtId="4" fontId="38" fillId="20" borderId="84" applyNumberFormat="0" applyProtection="0">
      <alignment horizontal="right" vertical="center"/>
    </xf>
    <xf numFmtId="6" fontId="79" fillId="36" borderId="48"/>
    <xf numFmtId="5" fontId="55" fillId="0" borderId="48">
      <alignment horizontal="left" vertical="top"/>
    </xf>
    <xf numFmtId="0" fontId="2" fillId="0" borderId="57">
      <alignment horizontal="left" vertical="center"/>
    </xf>
    <xf numFmtId="4" fontId="38" fillId="27" borderId="84" applyNumberFormat="0" applyProtection="0">
      <alignment horizontal="right" vertical="center"/>
    </xf>
    <xf numFmtId="4" fontId="65" fillId="29" borderId="84" applyNumberFormat="0" applyProtection="0">
      <alignment horizontal="left" vertical="center" indent="1"/>
    </xf>
    <xf numFmtId="0" fontId="1" fillId="19" borderId="84" applyNumberFormat="0" applyProtection="0">
      <alignment horizontal="left" vertical="center" indent="1"/>
    </xf>
    <xf numFmtId="4" fontId="38" fillId="30" borderId="84" applyNumberFormat="0" applyProtection="0">
      <alignment horizontal="left" vertical="center" indent="1"/>
    </xf>
    <xf numFmtId="0" fontId="1" fillId="32" borderId="84" applyNumberFormat="0" applyProtection="0">
      <alignment horizontal="left" vertical="center" indent="1"/>
    </xf>
    <xf numFmtId="0" fontId="1" fillId="33" borderId="84" applyNumberFormat="0" applyProtection="0">
      <alignment horizontal="left" vertical="center" indent="1"/>
    </xf>
    <xf numFmtId="0" fontId="1" fillId="33" borderId="84" applyNumberFormat="0" applyProtection="0">
      <alignment horizontal="left" vertical="center" indent="1"/>
    </xf>
    <xf numFmtId="4" fontId="64" fillId="3" borderId="84" applyNumberFormat="0" applyProtection="0">
      <alignment vertical="center"/>
    </xf>
    <xf numFmtId="4" fontId="38" fillId="3" borderId="84" applyNumberFormat="0" applyProtection="0">
      <alignment horizontal="left" vertical="center" indent="1"/>
    </xf>
    <xf numFmtId="4" fontId="38" fillId="3" borderId="84" applyNumberFormat="0" applyProtection="0">
      <alignment horizontal="left" vertical="center" indent="1"/>
    </xf>
    <xf numFmtId="0" fontId="1" fillId="2" borderId="84" applyNumberFormat="0" applyProtection="0">
      <alignment horizontal="left" vertical="center" indent="1"/>
    </xf>
    <xf numFmtId="0" fontId="1" fillId="19" borderId="84" applyNumberFormat="0" applyProtection="0">
      <alignment horizontal="left" vertical="center" indent="1"/>
    </xf>
    <xf numFmtId="4" fontId="38" fillId="32" borderId="84" applyNumberFormat="0" applyProtection="0">
      <alignment horizontal="left" vertical="center" indent="1"/>
    </xf>
    <xf numFmtId="5" fontId="77" fillId="30" borderId="48">
      <alignment vertical="top"/>
    </xf>
    <xf numFmtId="4" fontId="65" fillId="29" borderId="84" applyNumberFormat="0" applyProtection="0">
      <alignment horizontal="left" vertical="center" indent="1"/>
    </xf>
    <xf numFmtId="4" fontId="38" fillId="28" borderId="84" applyNumberFormat="0" applyProtection="0">
      <alignment horizontal="right" vertical="center"/>
    </xf>
    <xf numFmtId="4" fontId="38" fillId="27" borderId="84" applyNumberFormat="0" applyProtection="0">
      <alignment horizontal="right" vertical="center"/>
    </xf>
    <xf numFmtId="4" fontId="38" fillId="26" borderId="84" applyNumberFormat="0" applyProtection="0">
      <alignment horizontal="right" vertical="center"/>
    </xf>
    <xf numFmtId="4" fontId="38" fillId="25" borderId="84" applyNumberFormat="0" applyProtection="0">
      <alignment horizontal="right" vertical="center"/>
    </xf>
    <xf numFmtId="4" fontId="38" fillId="24" borderId="84" applyNumberFormat="0" applyProtection="0">
      <alignment horizontal="right" vertical="center"/>
    </xf>
    <xf numFmtId="4" fontId="38" fillId="23" borderId="84" applyNumberFormat="0" applyProtection="0">
      <alignment horizontal="right" vertical="center"/>
    </xf>
    <xf numFmtId="4" fontId="38" fillId="22" borderId="84" applyNumberFormat="0" applyProtection="0">
      <alignment horizontal="right" vertical="center"/>
    </xf>
    <xf numFmtId="4" fontId="38" fillId="21" borderId="84" applyNumberFormat="0" applyProtection="0">
      <alignment horizontal="right" vertical="center"/>
    </xf>
    <xf numFmtId="4" fontId="38" fillId="20" borderId="84" applyNumberFormat="0" applyProtection="0">
      <alignment horizontal="right" vertical="center"/>
    </xf>
    <xf numFmtId="0" fontId="1" fillId="19" borderId="84" applyNumberFormat="0" applyProtection="0">
      <alignment horizontal="left" vertical="center" indent="1"/>
    </xf>
    <xf numFmtId="4" fontId="38" fillId="18" borderId="84" applyNumberFormat="0" applyProtection="0">
      <alignment horizontal="left" vertical="center" indent="1"/>
    </xf>
    <xf numFmtId="4" fontId="38" fillId="18" borderId="84" applyNumberFormat="0" applyProtection="0">
      <alignment horizontal="left" vertical="center" indent="1"/>
    </xf>
    <xf numFmtId="4" fontId="64" fillId="18" borderId="84" applyNumberFormat="0" applyProtection="0">
      <alignment vertical="center"/>
    </xf>
    <xf numFmtId="5" fontId="55" fillId="0" borderId="48">
      <alignment horizontal="left" vertical="top"/>
    </xf>
    <xf numFmtId="4" fontId="38" fillId="28" borderId="84" applyNumberFormat="0" applyProtection="0">
      <alignment horizontal="right" vertical="center"/>
    </xf>
    <xf numFmtId="0" fontId="104" fillId="43" borderId="50" applyNumberFormat="0" applyAlignment="0" applyProtection="0"/>
    <xf numFmtId="6" fontId="79" fillId="36" borderId="48"/>
    <xf numFmtId="5" fontId="77" fillId="30" borderId="48">
      <alignment vertical="top"/>
    </xf>
    <xf numFmtId="4" fontId="38" fillId="25" borderId="84" applyNumberFormat="0" applyProtection="0">
      <alignment horizontal="right" vertical="center"/>
    </xf>
    <xf numFmtId="4" fontId="38" fillId="24" borderId="84" applyNumberFormat="0" applyProtection="0">
      <alignment horizontal="right" vertical="center"/>
    </xf>
    <xf numFmtId="4" fontId="38" fillId="23" borderId="84" applyNumberFormat="0" applyProtection="0">
      <alignment horizontal="right" vertical="center"/>
    </xf>
    <xf numFmtId="4" fontId="38" fillId="22" borderId="84" applyNumberFormat="0" applyProtection="0">
      <alignment horizontal="right" vertical="center"/>
    </xf>
    <xf numFmtId="4" fontId="38" fillId="21" borderId="84" applyNumberFormat="0" applyProtection="0">
      <alignment horizontal="right" vertical="center"/>
    </xf>
    <xf numFmtId="4" fontId="38" fillId="20" borderId="84" applyNumberFormat="0" applyProtection="0">
      <alignment horizontal="right" vertical="center"/>
    </xf>
    <xf numFmtId="0" fontId="1" fillId="19" borderId="84" applyNumberFormat="0" applyProtection="0">
      <alignment horizontal="left" vertical="center" indent="1"/>
    </xf>
    <xf numFmtId="4" fontId="38" fillId="18" borderId="84" applyNumberFormat="0" applyProtection="0">
      <alignment horizontal="left" vertical="center" indent="1"/>
    </xf>
    <xf numFmtId="4" fontId="64" fillId="18" borderId="84" applyNumberFormat="0" applyProtection="0">
      <alignment vertical="center"/>
    </xf>
    <xf numFmtId="4" fontId="38" fillId="18" borderId="84" applyNumberFormat="0" applyProtection="0">
      <alignment vertical="center"/>
    </xf>
    <xf numFmtId="4" fontId="64" fillId="18" borderId="84" applyNumberFormat="0" applyProtection="0">
      <alignment vertical="center"/>
    </xf>
    <xf numFmtId="4" fontId="38" fillId="28" borderId="84" applyNumberFormat="0" applyProtection="0">
      <alignment horizontal="right" vertical="center"/>
    </xf>
    <xf numFmtId="4" fontId="38" fillId="30" borderId="84" applyNumberFormat="0" applyProtection="0">
      <alignment horizontal="right" vertical="center"/>
    </xf>
    <xf numFmtId="4" fontId="5" fillId="59" borderId="55" applyNumberFormat="0" applyProtection="0">
      <alignment horizontal="right" vertical="center"/>
    </xf>
    <xf numFmtId="0" fontId="5" fillId="34" borderId="55" applyNumberFormat="0" applyProtection="0">
      <alignment horizontal="left" vertical="center" indent="1"/>
    </xf>
    <xf numFmtId="0" fontId="5" fillId="44" borderId="81" applyNumberFormat="0" applyProtection="0">
      <alignment horizontal="left" vertical="top" indent="1"/>
    </xf>
    <xf numFmtId="0" fontId="5" fillId="59" borderId="81" applyNumberFormat="0" applyProtection="0">
      <alignment horizontal="left" vertical="top" indent="1"/>
    </xf>
    <xf numFmtId="0" fontId="5" fillId="60" borderId="81" applyNumberFormat="0" applyProtection="0">
      <alignment horizontal="left" vertical="top" indent="1"/>
    </xf>
    <xf numFmtId="4" fontId="5" fillId="50" borderId="55" applyNumberFormat="0" applyProtection="0">
      <alignment horizontal="left" vertical="center" indent="1"/>
    </xf>
    <xf numFmtId="4" fontId="5" fillId="0" borderId="55" applyNumberFormat="0" applyProtection="0">
      <alignment horizontal="right" vertical="center"/>
    </xf>
    <xf numFmtId="0" fontId="109" fillId="0" borderId="85" applyNumberFormat="0" applyFill="0" applyAlignment="0" applyProtection="0"/>
    <xf numFmtId="0" fontId="1" fillId="58" borderId="58" applyNumberFormat="0" applyFont="0" applyAlignment="0" applyProtection="0"/>
    <xf numFmtId="4" fontId="38" fillId="30" borderId="84" applyNumberFormat="0" applyProtection="0">
      <alignment horizontal="right" vertical="center"/>
    </xf>
    <xf numFmtId="4" fontId="38" fillId="28" borderId="84" applyNumberFormat="0" applyProtection="0">
      <alignment horizontal="right" vertical="center"/>
    </xf>
    <xf numFmtId="5" fontId="55" fillId="0" borderId="48">
      <alignment horizontal="left" vertical="top"/>
    </xf>
    <xf numFmtId="6" fontId="79" fillId="36" borderId="48"/>
    <xf numFmtId="4" fontId="38" fillId="18" borderId="84" applyNumberFormat="0" applyProtection="0">
      <alignment vertical="center"/>
    </xf>
    <xf numFmtId="4" fontId="64" fillId="18" borderId="84" applyNumberFormat="0" applyProtection="0">
      <alignment vertical="center"/>
    </xf>
    <xf numFmtId="4" fontId="38" fillId="18" borderId="84" applyNumberFormat="0" applyProtection="0">
      <alignment horizontal="left" vertical="center" indent="1"/>
    </xf>
    <xf numFmtId="4" fontId="38" fillId="21" borderId="84" applyNumberFormat="0" applyProtection="0">
      <alignment horizontal="right" vertical="center"/>
    </xf>
    <xf numFmtId="4" fontId="38" fillId="22" borderId="84" applyNumberFormat="0" applyProtection="0">
      <alignment horizontal="right" vertical="center"/>
    </xf>
    <xf numFmtId="4" fontId="38" fillId="23" borderId="84" applyNumberFormat="0" applyProtection="0">
      <alignment horizontal="right" vertical="center"/>
    </xf>
    <xf numFmtId="4" fontId="38" fillId="24" borderId="84" applyNumberFormat="0" applyProtection="0">
      <alignment horizontal="right" vertical="center"/>
    </xf>
    <xf numFmtId="4" fontId="38" fillId="25" borderId="84" applyNumberFormat="0" applyProtection="0">
      <alignment horizontal="right" vertical="center"/>
    </xf>
    <xf numFmtId="4" fontId="38" fillId="26" borderId="84" applyNumberFormat="0" applyProtection="0">
      <alignment horizontal="right" vertical="center"/>
    </xf>
    <xf numFmtId="4" fontId="38" fillId="27" borderId="84" applyNumberFormat="0" applyProtection="0">
      <alignment horizontal="right" vertical="center"/>
    </xf>
    <xf numFmtId="4" fontId="65" fillId="29" borderId="84" applyNumberFormat="0" applyProtection="0">
      <alignment horizontal="left" vertical="center" indent="1"/>
    </xf>
    <xf numFmtId="0" fontId="1" fillId="19" borderId="84" applyNumberFormat="0" applyProtection="0">
      <alignment horizontal="left" vertical="center" indent="1"/>
    </xf>
    <xf numFmtId="4" fontId="38" fillId="30" borderId="84" applyNumberFormat="0" applyProtection="0">
      <alignment horizontal="left" vertical="center" indent="1"/>
    </xf>
    <xf numFmtId="4" fontId="38" fillId="32" borderId="84" applyNumberFormat="0" applyProtection="0">
      <alignment horizontal="left" vertical="center" indent="1"/>
    </xf>
    <xf numFmtId="0" fontId="1" fillId="33" borderId="84" applyNumberFormat="0" applyProtection="0">
      <alignment horizontal="left" vertical="center" indent="1"/>
    </xf>
    <xf numFmtId="4" fontId="64" fillId="3" borderId="84" applyNumberFormat="0" applyProtection="0">
      <alignment vertical="center"/>
    </xf>
    <xf numFmtId="4" fontId="38" fillId="3" borderId="84" applyNumberFormat="0" applyProtection="0">
      <alignment horizontal="left" vertical="center" indent="1"/>
    </xf>
    <xf numFmtId="4" fontId="38" fillId="3" borderId="84" applyNumberFormat="0" applyProtection="0">
      <alignment horizontal="left" vertical="center" indent="1"/>
    </xf>
    <xf numFmtId="0" fontId="1" fillId="2" borderId="84" applyNumberFormat="0" applyProtection="0">
      <alignment horizontal="left" vertical="center" indent="1"/>
    </xf>
    <xf numFmtId="4" fontId="64" fillId="30" borderId="84" applyNumberFormat="0" applyProtection="0">
      <alignment horizontal="right" vertical="center"/>
    </xf>
    <xf numFmtId="4" fontId="38" fillId="3" borderId="84" applyNumberFormat="0" applyProtection="0">
      <alignment vertical="center"/>
    </xf>
    <xf numFmtId="4" fontId="64" fillId="30" borderId="84" applyNumberFormat="0" applyProtection="0">
      <alignment horizontal="righ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4" fontId="68" fillId="30" borderId="84" applyNumberFormat="0" applyProtection="0">
      <alignment horizontal="right" vertical="center"/>
    </xf>
    <xf numFmtId="0" fontId="97" fillId="34" borderId="50" applyNumberFormat="0" applyAlignment="0" applyProtection="0"/>
    <xf numFmtId="0" fontId="104" fillId="43" borderId="50" applyNumberFormat="0" applyAlignment="0" applyProtection="0"/>
    <xf numFmtId="0" fontId="104" fillId="43" borderId="50" applyNumberFormat="0" applyAlignment="0" applyProtection="0"/>
    <xf numFmtId="0" fontId="97" fillId="34" borderId="50" applyNumberFormat="0" applyAlignment="0" applyProtection="0"/>
    <xf numFmtId="4" fontId="68" fillId="30" borderId="84" applyNumberFormat="0" applyProtection="0">
      <alignment horizontal="righ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4" fontId="64" fillId="30" borderId="84" applyNumberFormat="0" applyProtection="0">
      <alignment horizontal="right" vertical="center"/>
    </xf>
    <xf numFmtId="0" fontId="1" fillId="2" borderId="84" applyNumberFormat="0" applyProtection="0">
      <alignment horizontal="left" vertical="center" indent="1"/>
    </xf>
    <xf numFmtId="4" fontId="38" fillId="3" borderId="84" applyNumberFormat="0" applyProtection="0">
      <alignment horizontal="left" vertical="center" indent="1"/>
    </xf>
    <xf numFmtId="4" fontId="38" fillId="3" borderId="84" applyNumberFormat="0" applyProtection="0">
      <alignment horizontal="left" vertical="center" indent="1"/>
    </xf>
    <xf numFmtId="4" fontId="64" fillId="3" borderId="84" applyNumberFormat="0" applyProtection="0">
      <alignment vertical="center"/>
    </xf>
    <xf numFmtId="4" fontId="38" fillId="3" borderId="84" applyNumberFormat="0" applyProtection="0">
      <alignment vertical="center"/>
    </xf>
    <xf numFmtId="0" fontId="1" fillId="33" borderId="84" applyNumberFormat="0" applyProtection="0">
      <alignment horizontal="left" vertical="center" indent="1"/>
    </xf>
    <xf numFmtId="0" fontId="1" fillId="33" borderId="84" applyNumberFormat="0" applyProtection="0">
      <alignment horizontal="left" vertical="center" indent="1"/>
    </xf>
    <xf numFmtId="0" fontId="1" fillId="19" borderId="84" applyNumberFormat="0" applyProtection="0">
      <alignment horizontal="left" vertical="center" indent="1"/>
    </xf>
    <xf numFmtId="4" fontId="65" fillId="29" borderId="84" applyNumberFormat="0" applyProtection="0">
      <alignment horizontal="left" vertical="center" indent="1"/>
    </xf>
    <xf numFmtId="5" fontId="55" fillId="0" borderId="48">
      <alignment horizontal="left" vertical="top"/>
    </xf>
    <xf numFmtId="0" fontId="97" fillId="34" borderId="50" applyNumberFormat="0" applyAlignment="0" applyProtection="0"/>
    <xf numFmtId="4" fontId="68" fillId="30" borderId="84" applyNumberFormat="0" applyProtection="0">
      <alignment horizontal="right" vertical="center"/>
    </xf>
    <xf numFmtId="4" fontId="38" fillId="3" borderId="84" applyNumberFormat="0" applyProtection="0">
      <alignment vertical="center"/>
    </xf>
    <xf numFmtId="0" fontId="1" fillId="19" borderId="84" applyNumberFormat="0" applyProtection="0">
      <alignment horizontal="left" vertical="center" indent="1"/>
    </xf>
    <xf numFmtId="4" fontId="64" fillId="30" borderId="84" applyNumberFormat="0" applyProtection="0">
      <alignment horizontal="right" vertical="center"/>
    </xf>
    <xf numFmtId="0" fontId="1" fillId="2" borderId="84" applyNumberFormat="0" applyProtection="0">
      <alignment horizontal="left" vertical="center" indent="1"/>
    </xf>
    <xf numFmtId="0" fontId="1" fillId="33" borderId="84" applyNumberFormat="0" applyProtection="0">
      <alignment horizontal="left" vertical="center" indent="1"/>
    </xf>
    <xf numFmtId="0" fontId="1" fillId="33" borderId="84" applyNumberFormat="0" applyProtection="0">
      <alignment horizontal="left" vertical="center" indent="1"/>
    </xf>
    <xf numFmtId="0" fontId="1" fillId="32" borderId="84" applyNumberFormat="0" applyProtection="0">
      <alignment horizontal="left" vertical="center" indent="1"/>
    </xf>
    <xf numFmtId="0" fontId="1" fillId="32" borderId="84" applyNumberFormat="0" applyProtection="0">
      <alignment horizontal="left" vertical="center" indent="1"/>
    </xf>
    <xf numFmtId="0" fontId="1" fillId="19" borderId="84" applyNumberFormat="0" applyProtection="0">
      <alignment horizontal="left" vertical="center" indent="1"/>
    </xf>
    <xf numFmtId="4" fontId="65" fillId="29" borderId="84" applyNumberFormat="0" applyProtection="0">
      <alignment horizontal="left" vertical="center" indent="1"/>
    </xf>
    <xf numFmtId="4" fontId="38" fillId="27" borderId="84" applyNumberFormat="0" applyProtection="0">
      <alignment horizontal="right" vertical="center"/>
    </xf>
    <xf numFmtId="4" fontId="38" fillId="26" borderId="84" applyNumberFormat="0" applyProtection="0">
      <alignment horizontal="right" vertical="center"/>
    </xf>
    <xf numFmtId="0" fontId="1" fillId="32" borderId="84" applyNumberFormat="0" applyProtection="0">
      <alignment horizontal="left" vertical="center" indent="1"/>
    </xf>
    <xf numFmtId="4" fontId="38" fillId="21" borderId="84" applyNumberFormat="0" applyProtection="0">
      <alignment horizontal="right" vertical="center"/>
    </xf>
    <xf numFmtId="4" fontId="38" fillId="30" borderId="84" applyNumberFormat="0" applyProtection="0">
      <alignment horizontal="right" vertical="center"/>
    </xf>
    <xf numFmtId="4" fontId="38" fillId="28" borderId="84" applyNumberFormat="0" applyProtection="0">
      <alignment horizontal="right" vertical="center"/>
    </xf>
    <xf numFmtId="0" fontId="2" fillId="0" borderId="57">
      <alignment horizontal="left" vertical="center"/>
    </xf>
    <xf numFmtId="4" fontId="38" fillId="18" borderId="84" applyNumberFormat="0" applyProtection="0">
      <alignment vertical="center"/>
    </xf>
    <xf numFmtId="4" fontId="64" fillId="18" borderId="84" applyNumberFormat="0" applyProtection="0">
      <alignment vertical="center"/>
    </xf>
    <xf numFmtId="4" fontId="38" fillId="18" borderId="84" applyNumberFormat="0" applyProtection="0">
      <alignment horizontal="left" vertical="center" indent="1"/>
    </xf>
    <xf numFmtId="5" fontId="55" fillId="0" borderId="48">
      <alignment horizontal="left" vertical="top"/>
    </xf>
    <xf numFmtId="6" fontId="79" fillId="36" borderId="48"/>
    <xf numFmtId="0" fontId="1" fillId="19" borderId="84" applyNumberFormat="0" applyProtection="0">
      <alignment horizontal="left" vertical="center" indent="1"/>
    </xf>
    <xf numFmtId="5" fontId="77" fillId="30" borderId="48">
      <alignment vertical="top"/>
    </xf>
    <xf numFmtId="4" fontId="38" fillId="20" borderId="84" applyNumberFormat="0" applyProtection="0">
      <alignment horizontal="right" vertical="center"/>
    </xf>
    <xf numFmtId="4" fontId="38" fillId="21" borderId="84" applyNumberFormat="0" applyProtection="0">
      <alignment horizontal="right" vertical="center"/>
    </xf>
    <xf numFmtId="4" fontId="38" fillId="22" borderId="84" applyNumberFormat="0" applyProtection="0">
      <alignment horizontal="right" vertical="center"/>
    </xf>
    <xf numFmtId="0" fontId="1" fillId="32" borderId="84" applyNumberFormat="0" applyProtection="0">
      <alignment horizontal="left" vertical="center" indent="1"/>
    </xf>
    <xf numFmtId="4" fontId="68" fillId="30" borderId="84" applyNumberFormat="0" applyProtection="0">
      <alignment horizontal="righ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4" fontId="64" fillId="30" borderId="84" applyNumberFormat="0" applyProtection="0">
      <alignment horizontal="right" vertical="center"/>
    </xf>
    <xf numFmtId="4" fontId="38" fillId="30" borderId="84" applyNumberFormat="0" applyProtection="0">
      <alignment horizontal="right" vertical="center"/>
    </xf>
    <xf numFmtId="4" fontId="38" fillId="3" borderId="84" applyNumberFormat="0" applyProtection="0">
      <alignment horizontal="left" vertical="center" indent="1"/>
    </xf>
    <xf numFmtId="4" fontId="38" fillId="3" borderId="84" applyNumberFormat="0" applyProtection="0">
      <alignment horizontal="left" vertical="center" indent="1"/>
    </xf>
    <xf numFmtId="4" fontId="64" fillId="3" borderId="84" applyNumberFormat="0" applyProtection="0">
      <alignment vertical="center"/>
    </xf>
    <xf numFmtId="4" fontId="38" fillId="3" borderId="84" applyNumberFormat="0" applyProtection="0">
      <alignmen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0" fontId="1" fillId="33" borderId="84" applyNumberFormat="0" applyProtection="0">
      <alignment horizontal="left" vertical="center" indent="1"/>
    </xf>
    <xf numFmtId="0" fontId="1" fillId="32" borderId="84" applyNumberFormat="0" applyProtection="0">
      <alignment horizontal="left" vertical="center" indent="1"/>
    </xf>
    <xf numFmtId="0" fontId="1" fillId="32" borderId="84" applyNumberFormat="0" applyProtection="0">
      <alignment horizontal="left" vertical="center" indent="1"/>
    </xf>
    <xf numFmtId="4" fontId="38" fillId="32" borderId="84" applyNumberFormat="0" applyProtection="0">
      <alignment horizontal="left" vertical="center" indent="1"/>
    </xf>
    <xf numFmtId="4" fontId="38" fillId="30" borderId="84" applyNumberFormat="0" applyProtection="0">
      <alignment horizontal="left" vertical="center" indent="1"/>
    </xf>
    <xf numFmtId="0" fontId="1" fillId="19" borderId="84" applyNumberFormat="0" applyProtection="0">
      <alignment horizontal="left" vertical="center" indent="1"/>
    </xf>
    <xf numFmtId="4" fontId="38" fillId="32" borderId="84" applyNumberFormat="0" applyProtection="0">
      <alignment horizontal="left" vertical="center" indent="1"/>
    </xf>
    <xf numFmtId="0" fontId="1" fillId="19" borderId="84" applyNumberFormat="0" applyProtection="0">
      <alignment horizontal="left" vertical="center" indent="1"/>
    </xf>
    <xf numFmtId="4" fontId="38" fillId="25" borderId="84"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4" fontId="38" fillId="23" borderId="84" applyNumberFormat="0" applyProtection="0">
      <alignment horizontal="right" vertical="center"/>
    </xf>
    <xf numFmtId="0" fontId="1" fillId="32" borderId="84" applyNumberFormat="0" applyProtection="0">
      <alignment horizontal="left" vertical="center" indent="1"/>
    </xf>
    <xf numFmtId="0" fontId="1" fillId="32" borderId="84" applyNumberFormat="0" applyProtection="0">
      <alignment horizontal="left" vertical="center" indent="1"/>
    </xf>
    <xf numFmtId="0" fontId="1" fillId="19" borderId="84" applyNumberFormat="0" applyProtection="0">
      <alignment horizontal="left" vertical="center"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38" fillId="3" borderId="84" applyNumberFormat="0" applyProtection="0">
      <alignment horizontal="left" vertical="center" indent="1"/>
    </xf>
    <xf numFmtId="4" fontId="5" fillId="59" borderId="55" applyNumberFormat="0" applyProtection="0">
      <alignment horizontal="right" vertical="center"/>
    </xf>
    <xf numFmtId="0" fontId="1" fillId="2" borderId="84" applyNumberFormat="0" applyProtection="0">
      <alignment horizontal="left" vertical="center" indent="1"/>
    </xf>
    <xf numFmtId="0" fontId="104" fillId="43" borderId="50" applyNumberFormat="0" applyAlignment="0" applyProtection="0"/>
    <xf numFmtId="4" fontId="38" fillId="20" borderId="84" applyNumberFormat="0" applyProtection="0">
      <alignment horizontal="right" vertical="center"/>
    </xf>
    <xf numFmtId="4" fontId="68" fillId="30" borderId="84" applyNumberFormat="0" applyProtection="0">
      <alignment horizontal="right" vertical="center"/>
    </xf>
    <xf numFmtId="4" fontId="38" fillId="3" borderId="84" applyNumberFormat="0" applyProtection="0">
      <alignment horizontal="left" vertical="center" indent="1"/>
    </xf>
    <xf numFmtId="0" fontId="1" fillId="2" borderId="84" applyNumberFormat="0" applyProtection="0">
      <alignment horizontal="left" vertical="center" indent="1"/>
    </xf>
    <xf numFmtId="0" fontId="1" fillId="33" borderId="84" applyNumberFormat="0" applyProtection="0">
      <alignment horizontal="left" vertical="center" indent="1"/>
    </xf>
    <xf numFmtId="0" fontId="1" fillId="19" borderId="84" applyNumberFormat="0" applyProtection="0">
      <alignment horizontal="left" vertical="center" indent="1"/>
    </xf>
    <xf numFmtId="5" fontId="77" fillId="30" borderId="48">
      <alignment vertical="top"/>
    </xf>
    <xf numFmtId="0" fontId="1" fillId="33" borderId="84" applyNumberFormat="0" applyProtection="0">
      <alignment horizontal="left" vertical="center" indent="1"/>
    </xf>
    <xf numFmtId="4" fontId="38" fillId="22" borderId="84" applyNumberFormat="0" applyProtection="0">
      <alignment horizontal="right" vertical="center"/>
    </xf>
    <xf numFmtId="6" fontId="79" fillId="36" borderId="48"/>
    <xf numFmtId="4" fontId="38" fillId="18" borderId="84" applyNumberFormat="0" applyProtection="0">
      <alignment vertical="center"/>
    </xf>
    <xf numFmtId="4" fontId="38" fillId="30" borderId="84" applyNumberFormat="0" applyProtection="0">
      <alignment horizontal="left" vertical="center" indent="1"/>
    </xf>
    <xf numFmtId="4" fontId="38" fillId="30" borderId="84" applyNumberFormat="0" applyProtection="0">
      <alignment horizontal="right" vertical="center"/>
    </xf>
    <xf numFmtId="0" fontId="1" fillId="32" borderId="84" applyNumberFormat="0" applyProtection="0">
      <alignment horizontal="left" vertical="center" indent="1"/>
    </xf>
    <xf numFmtId="4" fontId="38" fillId="26" borderId="84" applyNumberFormat="0" applyProtection="0">
      <alignment horizontal="right" vertical="center"/>
    </xf>
    <xf numFmtId="0" fontId="2" fillId="0" borderId="57">
      <alignment horizontal="left" vertical="center"/>
    </xf>
    <xf numFmtId="0" fontId="1" fillId="19" borderId="84" applyNumberFormat="0" applyProtection="0">
      <alignment horizontal="left" vertical="center" indent="1"/>
    </xf>
    <xf numFmtId="0" fontId="1" fillId="58" borderId="58" applyNumberFormat="0" applyFont="0" applyAlignment="0" applyProtection="0"/>
    <xf numFmtId="5" fontId="55" fillId="0" borderId="48">
      <alignment horizontal="left" vertical="top"/>
    </xf>
    <xf numFmtId="0" fontId="1" fillId="19" borderId="84" applyNumberFormat="0" applyProtection="0">
      <alignment horizontal="left" vertical="center" indent="1"/>
    </xf>
    <xf numFmtId="4" fontId="38" fillId="32" borderId="84" applyNumberFormat="0" applyProtection="0">
      <alignment horizontal="left" vertical="center" indent="1"/>
    </xf>
    <xf numFmtId="0" fontId="1" fillId="32" borderId="84" applyNumberFormat="0" applyProtection="0">
      <alignment horizontal="left" vertical="center" indent="1"/>
    </xf>
    <xf numFmtId="0" fontId="1" fillId="2" borderId="84" applyNumberFormat="0" applyProtection="0">
      <alignment horizontal="left" vertical="center" indent="1"/>
    </xf>
    <xf numFmtId="4" fontId="38" fillId="3" borderId="84" applyNumberFormat="0" applyProtection="0">
      <alignment horizontal="left" vertical="center" indent="1"/>
    </xf>
    <xf numFmtId="0" fontId="107" fillId="34" borderId="84" applyNumberFormat="0" applyAlignment="0" applyProtection="0"/>
    <xf numFmtId="0" fontId="109" fillId="0" borderId="85" applyNumberFormat="0" applyFill="0" applyAlignment="0" applyProtection="0"/>
    <xf numFmtId="4" fontId="38" fillId="3" borderId="84" applyNumberFormat="0" applyProtection="0">
      <alignment vertical="center"/>
    </xf>
    <xf numFmtId="4" fontId="38" fillId="26" borderId="84" applyNumberFormat="0" applyProtection="0">
      <alignment horizontal="right" vertical="center"/>
    </xf>
    <xf numFmtId="4" fontId="5" fillId="59" borderId="55" applyNumberFormat="0" applyProtection="0">
      <alignment horizontal="right" vertical="center"/>
    </xf>
    <xf numFmtId="0" fontId="5" fillId="34" borderId="55" applyNumberFormat="0" applyProtection="0">
      <alignment horizontal="left" vertical="center" indent="1"/>
    </xf>
    <xf numFmtId="0" fontId="5" fillId="44" borderId="81" applyNumberFormat="0" applyProtection="0">
      <alignment horizontal="left" vertical="top" indent="1"/>
    </xf>
    <xf numFmtId="0" fontId="5" fillId="59" borderId="81" applyNumberFormat="0" applyProtection="0">
      <alignment horizontal="left" vertical="top" indent="1"/>
    </xf>
    <xf numFmtId="0" fontId="5" fillId="60" borderId="81" applyNumberFormat="0" applyProtection="0">
      <alignment horizontal="left" vertical="top" indent="1"/>
    </xf>
    <xf numFmtId="4" fontId="5" fillId="50" borderId="55" applyNumberFormat="0" applyProtection="0">
      <alignment horizontal="left" vertical="center" indent="1"/>
    </xf>
    <xf numFmtId="4" fontId="111" fillId="15" borderId="55" applyNumberFormat="0" applyProtection="0">
      <alignment horizontal="right" vertical="center"/>
    </xf>
    <xf numFmtId="4" fontId="5" fillId="0" borderId="55" applyNumberFormat="0" applyProtection="0">
      <alignment horizontal="right" vertical="center"/>
    </xf>
    <xf numFmtId="4" fontId="38" fillId="25" borderId="84" applyNumberFormat="0" applyProtection="0">
      <alignment horizontal="right" vertical="center"/>
    </xf>
    <xf numFmtId="6" fontId="79" fillId="36" borderId="48"/>
    <xf numFmtId="5" fontId="77" fillId="30" borderId="48">
      <alignment vertical="top"/>
    </xf>
    <xf numFmtId="0" fontId="2" fillId="0" borderId="57">
      <alignment horizontal="left" vertical="center"/>
    </xf>
    <xf numFmtId="0" fontId="1" fillId="33" borderId="84" applyNumberFormat="0" applyProtection="0">
      <alignment horizontal="left" vertical="center" indent="1"/>
    </xf>
    <xf numFmtId="0" fontId="1" fillId="2" borderId="84" applyNumberFormat="0" applyProtection="0">
      <alignment horizontal="left" vertical="center" indent="1"/>
    </xf>
    <xf numFmtId="0" fontId="1" fillId="19" borderId="84" applyNumberFormat="0" applyProtection="0">
      <alignment horizontal="left" vertical="center" indent="1"/>
    </xf>
    <xf numFmtId="0" fontId="1" fillId="19" borderId="84" applyNumberFormat="0" applyProtection="0">
      <alignment horizontal="left" vertical="center" indent="1"/>
    </xf>
    <xf numFmtId="4" fontId="38" fillId="3" borderId="84" applyNumberFormat="0" applyProtection="0">
      <alignment vertical="center"/>
    </xf>
    <xf numFmtId="4" fontId="64" fillId="3" borderId="84" applyNumberFormat="0" applyProtection="0">
      <alignment vertical="center"/>
    </xf>
    <xf numFmtId="4" fontId="38" fillId="3" borderId="84" applyNumberFormat="0" applyProtection="0">
      <alignment horizontal="left" vertical="center" indent="1"/>
    </xf>
    <xf numFmtId="4" fontId="38" fillId="30" borderId="84" applyNumberFormat="0" applyProtection="0">
      <alignment horizontal="right" vertical="center"/>
    </xf>
    <xf numFmtId="4" fontId="64" fillId="30" borderId="84" applyNumberFormat="0" applyProtection="0">
      <alignment horizontal="right" vertical="center"/>
    </xf>
    <xf numFmtId="0" fontId="1" fillId="19" borderId="84" applyNumberFormat="0" applyProtection="0">
      <alignment horizontal="left" vertical="center" indent="1"/>
    </xf>
    <xf numFmtId="4" fontId="68" fillId="30" borderId="84" applyNumberFormat="0" applyProtection="0">
      <alignment horizontal="right" vertical="center"/>
    </xf>
    <xf numFmtId="4" fontId="64" fillId="3" borderId="84" applyNumberFormat="0" applyProtection="0">
      <alignment vertical="center"/>
    </xf>
    <xf numFmtId="0" fontId="1" fillId="33" borderId="84" applyNumberFormat="0" applyProtection="0">
      <alignment horizontal="left" vertical="center" indent="1"/>
    </xf>
    <xf numFmtId="4" fontId="38" fillId="18" borderId="84" applyNumberFormat="0" applyProtection="0">
      <alignment horizontal="left" vertical="center" indent="1"/>
    </xf>
    <xf numFmtId="0" fontId="1" fillId="19" borderId="84" applyNumberFormat="0" applyProtection="0">
      <alignment horizontal="left" vertical="center" indent="1"/>
    </xf>
    <xf numFmtId="4" fontId="38" fillId="20" borderId="84" applyNumberFormat="0" applyProtection="0">
      <alignment horizontal="right" vertical="center"/>
    </xf>
    <xf numFmtId="4" fontId="38" fillId="21" borderId="84" applyNumberFormat="0" applyProtection="0">
      <alignment horizontal="right" vertical="center"/>
    </xf>
    <xf numFmtId="4" fontId="38" fillId="22" borderId="84" applyNumberFormat="0" applyProtection="0">
      <alignment horizontal="right" vertical="center"/>
    </xf>
    <xf numFmtId="0" fontId="2" fillId="0" borderId="57">
      <alignment horizontal="left" vertical="center"/>
    </xf>
    <xf numFmtId="4" fontId="38" fillId="23" borderId="84" applyNumberFormat="0" applyProtection="0">
      <alignment horizontal="right" vertical="center"/>
    </xf>
    <xf numFmtId="4" fontId="38" fillId="30" borderId="84" applyNumberFormat="0" applyProtection="0">
      <alignment horizontal="left" vertical="center" indent="1"/>
    </xf>
    <xf numFmtId="4" fontId="38" fillId="18" borderId="84" applyNumberFormat="0" applyProtection="0">
      <alignment vertical="center"/>
    </xf>
    <xf numFmtId="4" fontId="64" fillId="18" borderId="84" applyNumberFormat="0" applyProtection="0">
      <alignment vertical="center"/>
    </xf>
    <xf numFmtId="4" fontId="38" fillId="18" borderId="84" applyNumberFormat="0" applyProtection="0">
      <alignment horizontal="left" vertical="center" indent="1"/>
    </xf>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2" fillId="0" borderId="57">
      <alignment horizontal="lef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5" fillId="44" borderId="81" applyNumberFormat="0" applyProtection="0">
      <alignment horizontal="left" vertical="top" indent="1"/>
    </xf>
    <xf numFmtId="0" fontId="5" fillId="60" borderId="81" applyNumberFormat="0" applyProtection="0">
      <alignment horizontal="left" vertical="top" indent="1"/>
    </xf>
    <xf numFmtId="4" fontId="38" fillId="28" borderId="84" applyNumberFormat="0" applyProtection="0">
      <alignment horizontal="right" vertical="center"/>
    </xf>
    <xf numFmtId="4" fontId="38" fillId="27" borderId="84" applyNumberFormat="0" applyProtection="0">
      <alignment horizontal="right" vertical="center"/>
    </xf>
    <xf numFmtId="4" fontId="38" fillId="24" borderId="84" applyNumberFormat="0" applyProtection="0">
      <alignment horizontal="right" vertical="center"/>
    </xf>
    <xf numFmtId="4" fontId="65" fillId="29" borderId="84" applyNumberFormat="0" applyProtection="0">
      <alignment horizontal="left" vertical="center" indent="1"/>
    </xf>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94" fillId="58" borderId="58" applyNumberFormat="0" applyFont="0" applyAlignment="0" applyProtection="0"/>
    <xf numFmtId="0" fontId="5" fillId="44" borderId="81" applyNumberFormat="0" applyProtection="0">
      <alignment horizontal="left" vertical="top" indent="1"/>
    </xf>
    <xf numFmtId="0" fontId="5" fillId="60" borderId="81" applyNumberFormat="0" applyProtection="0">
      <alignment horizontal="left" vertical="top" indent="1"/>
    </xf>
    <xf numFmtId="0" fontId="94" fillId="58" borderId="58" applyNumberFormat="0" applyFont="0" applyAlignment="0" applyProtection="0"/>
    <xf numFmtId="4" fontId="38" fillId="18" borderId="84" applyNumberFormat="0" applyProtection="0">
      <alignment horizontal="left" vertical="center" indent="1"/>
    </xf>
    <xf numFmtId="4" fontId="38" fillId="18" borderId="84" applyNumberFormat="0" applyProtection="0">
      <alignment horizontal="left" vertical="center" indent="1"/>
    </xf>
    <xf numFmtId="4" fontId="38" fillId="3" borderId="84" applyNumberFormat="0" applyProtection="0">
      <alignment horizontal="left" vertical="center" indent="1"/>
    </xf>
    <xf numFmtId="0" fontId="1" fillId="33" borderId="84" applyNumberFormat="0" applyProtection="0">
      <alignment horizontal="left" vertical="center" indent="1"/>
    </xf>
    <xf numFmtId="4" fontId="68" fillId="30" borderId="84" applyNumberFormat="0" applyProtection="0">
      <alignment horizontal="righ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4" fontId="64" fillId="30" borderId="84" applyNumberFormat="0" applyProtection="0">
      <alignment horizontal="right" vertical="center"/>
    </xf>
    <xf numFmtId="4" fontId="38" fillId="30" borderId="84" applyNumberFormat="0" applyProtection="0">
      <alignment horizontal="right" vertical="center"/>
    </xf>
    <xf numFmtId="4" fontId="38" fillId="3" borderId="84" applyNumberFormat="0" applyProtection="0">
      <alignment horizontal="left" vertical="center" indent="1"/>
    </xf>
    <xf numFmtId="4" fontId="64" fillId="3" borderId="84" applyNumberFormat="0" applyProtection="0">
      <alignment vertical="center"/>
    </xf>
    <xf numFmtId="4" fontId="38" fillId="3" borderId="84" applyNumberFormat="0" applyProtection="0">
      <alignmen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0" fontId="1" fillId="2" borderId="84" applyNumberFormat="0" applyProtection="0">
      <alignment horizontal="left" vertical="center" indent="1"/>
    </xf>
    <xf numFmtId="0" fontId="1" fillId="2" borderId="84" applyNumberFormat="0" applyProtection="0">
      <alignment horizontal="left" vertical="center" indent="1"/>
    </xf>
    <xf numFmtId="0" fontId="1" fillId="33" borderId="84" applyNumberFormat="0" applyProtection="0">
      <alignment horizontal="left" vertical="center" indent="1"/>
    </xf>
    <xf numFmtId="0" fontId="1" fillId="33" borderId="84" applyNumberFormat="0" applyProtection="0">
      <alignment horizontal="left" vertical="center" indent="1"/>
    </xf>
    <xf numFmtId="0" fontId="1" fillId="32" borderId="84" applyNumberFormat="0" applyProtection="0">
      <alignment horizontal="left" vertical="center" indent="1"/>
    </xf>
    <xf numFmtId="0" fontId="1" fillId="32" borderId="84" applyNumberFormat="0" applyProtection="0">
      <alignment horizontal="left" vertical="center" indent="1"/>
    </xf>
    <xf numFmtId="4" fontId="38" fillId="32" borderId="84" applyNumberFormat="0" applyProtection="0">
      <alignment horizontal="left" vertical="center" indent="1"/>
    </xf>
    <xf numFmtId="4" fontId="38" fillId="30" borderId="84" applyNumberFormat="0" applyProtection="0">
      <alignment horizontal="left" vertical="center" indent="1"/>
    </xf>
    <xf numFmtId="0" fontId="1" fillId="19" borderId="84" applyNumberFormat="0" applyProtection="0">
      <alignment horizontal="left" vertical="center" indent="1"/>
    </xf>
    <xf numFmtId="4" fontId="65" fillId="29" borderId="84" applyNumberFormat="0" applyProtection="0">
      <alignment horizontal="left" vertical="center" indent="1"/>
    </xf>
    <xf numFmtId="4" fontId="38" fillId="23" borderId="84" applyNumberFormat="0" applyProtection="0">
      <alignment horizontal="right" vertical="center"/>
    </xf>
    <xf numFmtId="0" fontId="1" fillId="19" borderId="84" applyNumberFormat="0" applyProtection="0">
      <alignment horizontal="left" vertical="center" indent="1"/>
    </xf>
    <xf numFmtId="4" fontId="38" fillId="18" borderId="84" applyNumberFormat="0" applyProtection="0">
      <alignment horizontal="left" vertical="center" indent="1"/>
    </xf>
    <xf numFmtId="4" fontId="38" fillId="18" borderId="84" applyNumberFormat="0" applyProtection="0">
      <alignment horizontal="left" vertical="center" indent="1"/>
    </xf>
    <xf numFmtId="4" fontId="64" fillId="18" borderId="84" applyNumberFormat="0" applyProtection="0">
      <alignment vertical="center"/>
    </xf>
    <xf numFmtId="4" fontId="38" fillId="18" borderId="84" applyNumberFormat="0" applyProtection="0">
      <alignment vertical="center"/>
    </xf>
    <xf numFmtId="0" fontId="109" fillId="0" borderId="85" applyNumberFormat="0" applyFill="0" applyAlignment="0" applyProtection="0"/>
    <xf numFmtId="0" fontId="107" fillId="34" borderId="84" applyNumberFormat="0" applyAlignment="0" applyProtection="0"/>
    <xf numFmtId="4" fontId="38" fillId="28" borderId="84" applyNumberFormat="0" applyProtection="0">
      <alignment horizontal="right" vertical="center"/>
    </xf>
    <xf numFmtId="0" fontId="97" fillId="34" borderId="50" applyNumberFormat="0" applyAlignment="0" applyProtection="0"/>
    <xf numFmtId="0" fontId="1" fillId="32" borderId="84" applyNumberFormat="0" applyProtection="0">
      <alignment horizontal="left" vertical="center" indent="1"/>
    </xf>
    <xf numFmtId="4" fontId="38" fillId="24" borderId="84" applyNumberFormat="0" applyProtection="0">
      <alignment horizontal="right" vertical="center"/>
    </xf>
    <xf numFmtId="0" fontId="104" fillId="43" borderId="50" applyNumberFormat="0" applyAlignment="0" applyProtection="0"/>
    <xf numFmtId="4" fontId="38" fillId="26" borderId="84" applyNumberFormat="0" applyProtection="0">
      <alignment horizontal="right" vertical="center"/>
    </xf>
    <xf numFmtId="4" fontId="38" fillId="26" borderId="84" applyNumberFormat="0" applyProtection="0">
      <alignment horizontal="right" vertical="center"/>
    </xf>
    <xf numFmtId="0" fontId="1" fillId="58" borderId="58" applyNumberFormat="0" applyFont="0" applyAlignment="0" applyProtection="0"/>
    <xf numFmtId="4" fontId="38" fillId="27" borderId="84" applyNumberFormat="0" applyProtection="0">
      <alignment horizontal="right" vertical="center"/>
    </xf>
    <xf numFmtId="4" fontId="38" fillId="25" borderId="84" applyNumberFormat="0" applyProtection="0">
      <alignment horizontal="right" vertical="center"/>
    </xf>
    <xf numFmtId="4" fontId="38" fillId="22" borderId="84" applyNumberFormat="0" applyProtection="0">
      <alignment horizontal="right" vertical="center"/>
    </xf>
    <xf numFmtId="0" fontId="1" fillId="19" borderId="84" applyNumberFormat="0" applyProtection="0">
      <alignment horizontal="left" vertical="center" indent="1"/>
    </xf>
    <xf numFmtId="0" fontId="1" fillId="58" borderId="58" applyNumberFormat="0" applyFont="0" applyAlignment="0" applyProtection="0"/>
    <xf numFmtId="5" fontId="55" fillId="0" borderId="48">
      <alignment horizontal="left" vertical="top"/>
    </xf>
    <xf numFmtId="0" fontId="1" fillId="19" borderId="84" applyNumberFormat="0" applyProtection="0">
      <alignment horizontal="left" vertical="center" indent="1"/>
    </xf>
    <xf numFmtId="4" fontId="38" fillId="32" borderId="84" applyNumberFormat="0" applyProtection="0">
      <alignment horizontal="left" vertical="center" indent="1"/>
    </xf>
    <xf numFmtId="0" fontId="1" fillId="32" borderId="84" applyNumberFormat="0" applyProtection="0">
      <alignment horizontal="left" vertical="center" indent="1"/>
    </xf>
    <xf numFmtId="0" fontId="1" fillId="2" borderId="84" applyNumberFormat="0" applyProtection="0">
      <alignment horizontal="left" vertical="center" indent="1"/>
    </xf>
    <xf numFmtId="4" fontId="38" fillId="3" borderId="84" applyNumberFormat="0" applyProtection="0">
      <alignment horizontal="left" vertical="center" indent="1"/>
    </xf>
    <xf numFmtId="0" fontId="107" fillId="34" borderId="84" applyNumberFormat="0" applyAlignment="0" applyProtection="0"/>
    <xf numFmtId="0" fontId="109" fillId="0" borderId="85" applyNumberFormat="0" applyFill="0" applyAlignment="0" applyProtection="0"/>
    <xf numFmtId="0" fontId="1" fillId="19" borderId="84" applyNumberFormat="0" applyProtection="0">
      <alignment horizontal="left" vertical="center" indent="1"/>
    </xf>
    <xf numFmtId="4" fontId="5" fillId="59" borderId="55" applyNumberFormat="0" applyProtection="0">
      <alignment horizontal="right" vertical="center"/>
    </xf>
    <xf numFmtId="0" fontId="5" fillId="34" borderId="55" applyNumberFormat="0" applyProtection="0">
      <alignment horizontal="left" vertical="center" indent="1"/>
    </xf>
    <xf numFmtId="0" fontId="5" fillId="44" borderId="81" applyNumberFormat="0" applyProtection="0">
      <alignment horizontal="left" vertical="top" indent="1"/>
    </xf>
    <xf numFmtId="0" fontId="5" fillId="59" borderId="81" applyNumberFormat="0" applyProtection="0">
      <alignment horizontal="left" vertical="top" indent="1"/>
    </xf>
    <xf numFmtId="0" fontId="5" fillId="60" borderId="81" applyNumberFormat="0" applyProtection="0">
      <alignment horizontal="left" vertical="top" indent="1"/>
    </xf>
    <xf numFmtId="4" fontId="5" fillId="50" borderId="55" applyNumberFormat="0" applyProtection="0">
      <alignment horizontal="left" vertical="center" indent="1"/>
    </xf>
    <xf numFmtId="4" fontId="111" fillId="15" borderId="55" applyNumberFormat="0" applyProtection="0">
      <alignment horizontal="right" vertical="center"/>
    </xf>
    <xf numFmtId="4" fontId="5" fillId="0" borderId="55" applyNumberFormat="0" applyProtection="0">
      <alignment horizontal="right" vertical="center"/>
    </xf>
    <xf numFmtId="4" fontId="38" fillId="25" borderId="84" applyNumberFormat="0" applyProtection="0">
      <alignment horizontal="right" vertical="center"/>
    </xf>
    <xf numFmtId="6" fontId="79" fillId="36" borderId="48"/>
    <xf numFmtId="5" fontId="77" fillId="30" borderId="48">
      <alignment vertical="top"/>
    </xf>
    <xf numFmtId="0" fontId="1" fillId="33" borderId="84" applyNumberFormat="0" applyProtection="0">
      <alignment horizontal="left" vertical="center" indent="1"/>
    </xf>
    <xf numFmtId="0" fontId="1" fillId="2" borderId="84" applyNumberFormat="0" applyProtection="0">
      <alignment horizontal="left" vertical="center" indent="1"/>
    </xf>
    <xf numFmtId="0" fontId="1" fillId="19" borderId="84" applyNumberFormat="0" applyProtection="0">
      <alignment horizontal="left" vertical="center" indent="1"/>
    </xf>
    <xf numFmtId="0" fontId="1" fillId="19" borderId="84" applyNumberFormat="0" applyProtection="0">
      <alignment horizontal="left" vertical="center" indent="1"/>
    </xf>
    <xf numFmtId="4" fontId="38" fillId="3" borderId="84" applyNumberFormat="0" applyProtection="0">
      <alignment vertical="center"/>
    </xf>
    <xf numFmtId="4" fontId="64" fillId="3" borderId="84" applyNumberFormat="0" applyProtection="0">
      <alignment vertical="center"/>
    </xf>
    <xf numFmtId="4" fontId="38" fillId="3" borderId="84" applyNumberFormat="0" applyProtection="0">
      <alignment horizontal="left" vertical="center" indent="1"/>
    </xf>
    <xf numFmtId="4" fontId="38" fillId="30" borderId="84" applyNumberFormat="0" applyProtection="0">
      <alignment horizontal="right" vertical="center"/>
    </xf>
    <xf numFmtId="4" fontId="64" fillId="30" borderId="84" applyNumberFormat="0" applyProtection="0">
      <alignment horizontal="right" vertical="center"/>
    </xf>
    <xf numFmtId="0" fontId="1" fillId="19" borderId="84" applyNumberFormat="0" applyProtection="0">
      <alignment horizontal="left" vertical="center" indent="1"/>
    </xf>
    <xf numFmtId="4" fontId="68" fillId="30" borderId="84" applyNumberFormat="0" applyProtection="0">
      <alignment horizontal="right" vertical="center"/>
    </xf>
    <xf numFmtId="4" fontId="38" fillId="27" borderId="84" applyNumberFormat="0" applyProtection="0">
      <alignment horizontal="right" vertical="center"/>
    </xf>
    <xf numFmtId="0" fontId="1" fillId="2" borderId="84" applyNumberFormat="0" applyProtection="0">
      <alignment horizontal="left" vertical="center" indent="1"/>
    </xf>
    <xf numFmtId="4" fontId="38" fillId="18" borderId="84" applyNumberFormat="0" applyProtection="0">
      <alignment horizontal="left" vertical="center" indent="1"/>
    </xf>
    <xf numFmtId="0" fontId="1" fillId="19" borderId="84" applyNumberFormat="0" applyProtection="0">
      <alignment horizontal="left" vertical="center" indent="1"/>
    </xf>
    <xf numFmtId="4" fontId="38" fillId="20" borderId="84" applyNumberFormat="0" applyProtection="0">
      <alignment horizontal="right" vertical="center"/>
    </xf>
    <xf numFmtId="4" fontId="38" fillId="21" borderId="84" applyNumberFormat="0" applyProtection="0">
      <alignment horizontal="right" vertical="center"/>
    </xf>
    <xf numFmtId="4" fontId="38" fillId="22" borderId="84" applyNumberFormat="0" applyProtection="0">
      <alignment horizontal="right" vertical="center"/>
    </xf>
    <xf numFmtId="0" fontId="2" fillId="0" borderId="57">
      <alignment horizontal="left" vertical="center"/>
    </xf>
    <xf numFmtId="4" fontId="38" fillId="23" borderId="84" applyNumberFormat="0" applyProtection="0">
      <alignment horizontal="right" vertical="center"/>
    </xf>
    <xf numFmtId="4" fontId="38" fillId="30" borderId="84" applyNumberFormat="0" applyProtection="0">
      <alignment horizontal="left" vertical="center" indent="1"/>
    </xf>
    <xf numFmtId="4" fontId="38" fillId="18" borderId="84" applyNumberFormat="0" applyProtection="0">
      <alignment vertical="center"/>
    </xf>
    <xf numFmtId="4" fontId="64" fillId="18" borderId="84" applyNumberFormat="0" applyProtection="0">
      <alignment vertical="center"/>
    </xf>
    <xf numFmtId="4" fontId="38" fillId="18" borderId="84" applyNumberFormat="0" applyProtection="0">
      <alignment horizontal="left" vertical="center" indent="1"/>
    </xf>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38" fillId="21" borderId="84" applyNumberFormat="0" applyProtection="0">
      <alignment horizontal="right" vertical="center"/>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5" fillId="44" borderId="81" applyNumberFormat="0" applyProtection="0">
      <alignment horizontal="left" vertical="top" indent="1"/>
    </xf>
    <xf numFmtId="0" fontId="5" fillId="60" borderId="81" applyNumberFormat="0" applyProtection="0">
      <alignment horizontal="left" vertical="top" indent="1"/>
    </xf>
    <xf numFmtId="4" fontId="38" fillId="20" borderId="84" applyNumberFormat="0" applyProtection="0">
      <alignment horizontal="right" vertical="center"/>
    </xf>
    <xf numFmtId="0" fontId="2" fillId="0" borderId="57">
      <alignment horizontal="lef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94" fillId="58" borderId="58" applyNumberFormat="0" applyFont="0" applyAlignment="0" applyProtection="0"/>
    <xf numFmtId="0" fontId="5" fillId="44" borderId="81" applyNumberFormat="0" applyProtection="0">
      <alignment horizontal="left" vertical="top" indent="1"/>
    </xf>
    <xf numFmtId="0" fontId="5" fillId="60" borderId="81" applyNumberFormat="0" applyProtection="0">
      <alignment horizontal="left" vertical="top" indent="1"/>
    </xf>
    <xf numFmtId="4" fontId="38" fillId="28" borderId="84" applyNumberFormat="0" applyProtection="0">
      <alignment horizontal="right" vertical="center"/>
    </xf>
    <xf numFmtId="0" fontId="94" fillId="58" borderId="58" applyNumberFormat="0" applyFont="0" applyAlignment="0" applyProtection="0"/>
    <xf numFmtId="4" fontId="38" fillId="27" borderId="84" applyNumberFormat="0" applyProtection="0">
      <alignment horizontal="right" vertical="center"/>
    </xf>
    <xf numFmtId="4" fontId="38" fillId="24" borderId="84" applyNumberFormat="0" applyProtection="0">
      <alignment horizontal="right" vertical="center"/>
    </xf>
    <xf numFmtId="4" fontId="65" fillId="29" borderId="84" applyNumberFormat="0" applyProtection="0">
      <alignment horizontal="left" vertical="center" indent="1"/>
    </xf>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94" fillId="58" borderId="58" applyNumberFormat="0" applyFont="0" applyAlignment="0" applyProtection="0"/>
    <xf numFmtId="0" fontId="5" fillId="44" borderId="81" applyNumberFormat="0" applyProtection="0">
      <alignment horizontal="left" vertical="top" indent="1"/>
    </xf>
    <xf numFmtId="0" fontId="5" fillId="60" borderId="81" applyNumberFormat="0" applyProtection="0">
      <alignment horizontal="left" vertical="top" indent="1"/>
    </xf>
    <xf numFmtId="0" fontId="94" fillId="58" borderId="58" applyNumberFormat="0" applyFont="0" applyAlignment="0" applyProtection="0"/>
    <xf numFmtId="0" fontId="104" fillId="43" borderId="50" applyNumberFormat="0" applyAlignment="0" applyProtection="0"/>
    <xf numFmtId="0" fontId="1" fillId="58" borderId="58" applyNumberFormat="0" applyFont="0" applyAlignment="0" applyProtection="0"/>
    <xf numFmtId="0" fontId="107" fillId="34" borderId="84" applyNumberFormat="0" applyAlignment="0" applyProtection="0"/>
    <xf numFmtId="4" fontId="38" fillId="25" borderId="84" applyNumberFormat="0" applyProtection="0">
      <alignment horizontal="right" vertical="center"/>
    </xf>
    <xf numFmtId="0" fontId="109" fillId="0" borderId="85" applyNumberFormat="0" applyFill="0" applyAlignment="0" applyProtection="0"/>
    <xf numFmtId="4" fontId="38" fillId="18" borderId="84" applyNumberFormat="0" applyProtection="0">
      <alignment vertical="center"/>
    </xf>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0" fontId="1" fillId="19" borderId="84" applyNumberFormat="0" applyProtection="0">
      <alignment horizontal="left" vertical="center" indent="1"/>
    </xf>
    <xf numFmtId="4" fontId="5" fillId="59" borderId="55" applyNumberFormat="0" applyProtection="0">
      <alignment horizontal="right" vertical="center"/>
    </xf>
    <xf numFmtId="0" fontId="94" fillId="58" borderId="58" applyNumberFormat="0" applyFont="0" applyAlignment="0" applyProtection="0"/>
    <xf numFmtId="0" fontId="5" fillId="44" borderId="81" applyNumberFormat="0" applyProtection="0">
      <alignment horizontal="left" vertical="top" indent="1"/>
    </xf>
    <xf numFmtId="0" fontId="5" fillId="60" borderId="81" applyNumberFormat="0" applyProtection="0">
      <alignment horizontal="left" vertical="top" indent="1"/>
    </xf>
    <xf numFmtId="0" fontId="1" fillId="19" borderId="84" applyNumberFormat="0" applyProtection="0">
      <alignment horizontal="left" vertical="center" indent="1"/>
    </xf>
    <xf numFmtId="0" fontId="94" fillId="58" borderId="58" applyNumberFormat="0" applyFont="0" applyAlignment="0" applyProtection="0"/>
    <xf numFmtId="4" fontId="38" fillId="18" borderId="84" applyNumberFormat="0" applyProtection="0">
      <alignment horizontal="left" vertical="center" indent="1"/>
    </xf>
    <xf numFmtId="4" fontId="38" fillId="3" borderId="84" applyNumberFormat="0" applyProtection="0">
      <alignment horizontal="left" vertical="center" indent="1"/>
    </xf>
    <xf numFmtId="0" fontId="1" fillId="33" borderId="84" applyNumberFormat="0" applyProtection="0">
      <alignment horizontal="left" vertical="center" indent="1"/>
    </xf>
    <xf numFmtId="4" fontId="68" fillId="30" borderId="84" applyNumberFormat="0" applyProtection="0">
      <alignment horizontal="righ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4" fontId="64" fillId="30" borderId="84" applyNumberFormat="0" applyProtection="0">
      <alignment horizontal="right" vertical="center"/>
    </xf>
    <xf numFmtId="4" fontId="38" fillId="30" borderId="84" applyNumberFormat="0" applyProtection="0">
      <alignment horizontal="right" vertical="center"/>
    </xf>
    <xf numFmtId="4" fontId="38" fillId="3" borderId="84" applyNumberFormat="0" applyProtection="0">
      <alignment horizontal="left" vertical="center" indent="1"/>
    </xf>
    <xf numFmtId="4" fontId="64" fillId="3" borderId="84" applyNumberFormat="0" applyProtection="0">
      <alignment vertical="center"/>
    </xf>
    <xf numFmtId="4" fontId="38" fillId="3" borderId="84" applyNumberFormat="0" applyProtection="0">
      <alignmen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0" fontId="1" fillId="2" borderId="84" applyNumberFormat="0" applyProtection="0">
      <alignment horizontal="left" vertical="center" indent="1"/>
    </xf>
    <xf numFmtId="0" fontId="1" fillId="2" borderId="84" applyNumberFormat="0" applyProtection="0">
      <alignment horizontal="left" vertical="center" indent="1"/>
    </xf>
    <xf numFmtId="0" fontId="1" fillId="33" borderId="84" applyNumberFormat="0" applyProtection="0">
      <alignment horizontal="left" vertical="center" indent="1"/>
    </xf>
    <xf numFmtId="0" fontId="1" fillId="33" borderId="84" applyNumberFormat="0" applyProtection="0">
      <alignment horizontal="left" vertical="center" indent="1"/>
    </xf>
    <xf numFmtId="0" fontId="1" fillId="32" borderId="84" applyNumberFormat="0" applyProtection="0">
      <alignment horizontal="left" vertical="center" indent="1"/>
    </xf>
    <xf numFmtId="0" fontId="1" fillId="32" borderId="84" applyNumberFormat="0" applyProtection="0">
      <alignment horizontal="left" vertical="center" indent="1"/>
    </xf>
    <xf numFmtId="4" fontId="38" fillId="32" borderId="84" applyNumberFormat="0" applyProtection="0">
      <alignment horizontal="left" vertical="center" indent="1"/>
    </xf>
    <xf numFmtId="4" fontId="38" fillId="30" borderId="84" applyNumberFormat="0" applyProtection="0">
      <alignment horizontal="left" vertical="center" indent="1"/>
    </xf>
    <xf numFmtId="0" fontId="1" fillId="19" borderId="84" applyNumberFormat="0" applyProtection="0">
      <alignment horizontal="left" vertical="center" indent="1"/>
    </xf>
    <xf numFmtId="4" fontId="65" fillId="29" borderId="84" applyNumberFormat="0" applyProtection="0">
      <alignment horizontal="left" vertical="center" indent="1"/>
    </xf>
    <xf numFmtId="4" fontId="38" fillId="23" borderId="84" applyNumberFormat="0" applyProtection="0">
      <alignment horizontal="right" vertical="center"/>
    </xf>
    <xf numFmtId="0" fontId="1" fillId="19" borderId="84" applyNumberFormat="0" applyProtection="0">
      <alignment horizontal="left" vertical="center" indent="1"/>
    </xf>
    <xf numFmtId="4" fontId="38" fillId="18" borderId="84" applyNumberFormat="0" applyProtection="0">
      <alignment horizontal="left" vertical="center" indent="1"/>
    </xf>
    <xf numFmtId="4" fontId="38" fillId="18" borderId="84" applyNumberFormat="0" applyProtection="0">
      <alignment horizontal="left" vertical="center" indent="1"/>
    </xf>
    <xf numFmtId="4" fontId="64" fillId="18" borderId="84" applyNumberFormat="0" applyProtection="0">
      <alignment vertical="center"/>
    </xf>
    <xf numFmtId="4" fontId="38" fillId="18" borderId="84" applyNumberFormat="0" applyProtection="0">
      <alignment vertical="center"/>
    </xf>
    <xf numFmtId="0" fontId="109" fillId="0" borderId="85" applyNumberFormat="0" applyFill="0" applyAlignment="0" applyProtection="0"/>
    <xf numFmtId="0" fontId="107" fillId="34" borderId="84" applyNumberFormat="0" applyAlignment="0" applyProtection="0"/>
    <xf numFmtId="4" fontId="38" fillId="28" borderId="84" applyNumberFormat="0" applyProtection="0">
      <alignment horizontal="right" vertical="center"/>
    </xf>
    <xf numFmtId="0" fontId="97" fillId="34" borderId="50" applyNumberFormat="0" applyAlignment="0" applyProtection="0"/>
    <xf numFmtId="0" fontId="1" fillId="32" borderId="84" applyNumberFormat="0" applyProtection="0">
      <alignment horizontal="left" vertical="center" indent="1"/>
    </xf>
    <xf numFmtId="4" fontId="38" fillId="24" borderId="84" applyNumberFormat="0" applyProtection="0">
      <alignment horizontal="right" vertical="center"/>
    </xf>
    <xf numFmtId="0" fontId="104" fillId="43" borderId="50" applyNumberFormat="0" applyAlignment="0" applyProtection="0"/>
    <xf numFmtId="4" fontId="38" fillId="26" borderId="84" applyNumberFormat="0" applyProtection="0">
      <alignment horizontal="right" vertical="center"/>
    </xf>
    <xf numFmtId="4" fontId="38" fillId="26" borderId="84" applyNumberFormat="0" applyProtection="0">
      <alignment horizontal="right" vertical="center"/>
    </xf>
    <xf numFmtId="0" fontId="1" fillId="58" borderId="58" applyNumberFormat="0" applyFont="0" applyAlignment="0" applyProtection="0"/>
    <xf numFmtId="4" fontId="38" fillId="27" borderId="84" applyNumberFormat="0" applyProtection="0">
      <alignment horizontal="right" vertical="center"/>
    </xf>
    <xf numFmtId="4" fontId="38" fillId="25" borderId="84" applyNumberFormat="0" applyProtection="0">
      <alignment horizontal="right" vertical="center"/>
    </xf>
    <xf numFmtId="4" fontId="38" fillId="22" borderId="84" applyNumberFormat="0" applyProtection="0">
      <alignment horizontal="right" vertical="center"/>
    </xf>
    <xf numFmtId="0" fontId="1" fillId="19" borderId="84" applyNumberFormat="0" applyProtection="0">
      <alignment horizontal="left" vertical="center" indent="1"/>
    </xf>
    <xf numFmtId="0" fontId="1" fillId="58" borderId="58" applyNumberFormat="0" applyFont="0" applyAlignment="0" applyProtection="0"/>
    <xf numFmtId="5" fontId="55" fillId="0" borderId="48">
      <alignment horizontal="left" vertical="top"/>
    </xf>
    <xf numFmtId="0" fontId="1" fillId="19" borderId="84" applyNumberFormat="0" applyProtection="0">
      <alignment horizontal="left" vertical="center" indent="1"/>
    </xf>
    <xf numFmtId="4" fontId="38" fillId="32" borderId="84" applyNumberFormat="0" applyProtection="0">
      <alignment horizontal="left" vertical="center" indent="1"/>
    </xf>
    <xf numFmtId="0" fontId="1" fillId="32" borderId="84" applyNumberFormat="0" applyProtection="0">
      <alignment horizontal="left" vertical="center" indent="1"/>
    </xf>
    <xf numFmtId="0" fontId="1" fillId="2" borderId="84" applyNumberFormat="0" applyProtection="0">
      <alignment horizontal="left" vertical="center" indent="1"/>
    </xf>
    <xf numFmtId="4" fontId="38" fillId="3" borderId="84" applyNumberFormat="0" applyProtection="0">
      <alignment horizontal="left" vertical="center" indent="1"/>
    </xf>
    <xf numFmtId="0" fontId="107" fillId="34" borderId="84" applyNumberFormat="0" applyAlignment="0" applyProtection="0"/>
    <xf numFmtId="0" fontId="109" fillId="0" borderId="85" applyNumberFormat="0" applyFill="0" applyAlignment="0" applyProtection="0"/>
    <xf numFmtId="0" fontId="97" fillId="34" borderId="50" applyNumberFormat="0" applyAlignment="0" applyProtection="0"/>
    <xf numFmtId="4" fontId="5" fillId="59" borderId="55" applyNumberFormat="0" applyProtection="0">
      <alignment horizontal="right" vertical="center"/>
    </xf>
    <xf numFmtId="0" fontId="5" fillId="34" borderId="55" applyNumberFormat="0" applyProtection="0">
      <alignment horizontal="left" vertical="center" indent="1"/>
    </xf>
    <xf numFmtId="0" fontId="5" fillId="44" borderId="81" applyNumberFormat="0" applyProtection="0">
      <alignment horizontal="left" vertical="top" indent="1"/>
    </xf>
    <xf numFmtId="0" fontId="5" fillId="59" borderId="81" applyNumberFormat="0" applyProtection="0">
      <alignment horizontal="left" vertical="top" indent="1"/>
    </xf>
    <xf numFmtId="0" fontId="5" fillId="60" borderId="81" applyNumberFormat="0" applyProtection="0">
      <alignment horizontal="left" vertical="top" indent="1"/>
    </xf>
    <xf numFmtId="4" fontId="5" fillId="50" borderId="55" applyNumberFormat="0" applyProtection="0">
      <alignment horizontal="left" vertical="center" indent="1"/>
    </xf>
    <xf numFmtId="4" fontId="111" fillId="15" borderId="55" applyNumberFormat="0" applyProtection="0">
      <alignment horizontal="right" vertical="center"/>
    </xf>
    <xf numFmtId="4" fontId="5" fillId="0" borderId="55" applyNumberFormat="0" applyProtection="0">
      <alignment horizontal="right" vertical="center"/>
    </xf>
    <xf numFmtId="4" fontId="38" fillId="25" borderId="84" applyNumberFormat="0" applyProtection="0">
      <alignment horizontal="right" vertical="center"/>
    </xf>
    <xf numFmtId="6" fontId="79" fillId="36" borderId="48"/>
    <xf numFmtId="5" fontId="77" fillId="30" borderId="48">
      <alignment vertical="top"/>
    </xf>
    <xf numFmtId="0" fontId="1" fillId="33" borderId="84" applyNumberFormat="0" applyProtection="0">
      <alignment horizontal="left" vertical="center" indent="1"/>
    </xf>
    <xf numFmtId="0" fontId="1" fillId="2" borderId="84" applyNumberFormat="0" applyProtection="0">
      <alignment horizontal="left" vertical="center" indent="1"/>
    </xf>
    <xf numFmtId="0" fontId="1" fillId="19" borderId="84" applyNumberFormat="0" applyProtection="0">
      <alignment horizontal="left" vertical="center" indent="1"/>
    </xf>
    <xf numFmtId="0" fontId="1" fillId="19" borderId="84" applyNumberFormat="0" applyProtection="0">
      <alignment horizontal="left" vertical="center" indent="1"/>
    </xf>
    <xf numFmtId="4" fontId="38" fillId="3" borderId="84" applyNumberFormat="0" applyProtection="0">
      <alignment vertical="center"/>
    </xf>
    <xf numFmtId="4" fontId="64" fillId="3" borderId="84" applyNumberFormat="0" applyProtection="0">
      <alignment vertical="center"/>
    </xf>
    <xf numFmtId="4" fontId="38" fillId="3" borderId="84" applyNumberFormat="0" applyProtection="0">
      <alignment horizontal="left" vertical="center" indent="1"/>
    </xf>
    <xf numFmtId="4" fontId="38" fillId="30" borderId="84" applyNumberFormat="0" applyProtection="0">
      <alignment horizontal="right" vertical="center"/>
    </xf>
    <xf numFmtId="4" fontId="64" fillId="30" borderId="84" applyNumberFormat="0" applyProtection="0">
      <alignment horizontal="right" vertical="center"/>
    </xf>
    <xf numFmtId="0" fontId="1" fillId="19" borderId="84" applyNumberFormat="0" applyProtection="0">
      <alignment horizontal="left" vertical="center" indent="1"/>
    </xf>
    <xf numFmtId="4" fontId="68" fillId="30" borderId="84" applyNumberFormat="0" applyProtection="0">
      <alignment horizontal="right" vertical="center"/>
    </xf>
    <xf numFmtId="0" fontId="1" fillId="2" borderId="84" applyNumberFormat="0" applyProtection="0">
      <alignment horizontal="left" vertical="center" indent="1"/>
    </xf>
    <xf numFmtId="4" fontId="38" fillId="18" borderId="84" applyNumberFormat="0" applyProtection="0">
      <alignment horizontal="left" vertical="center" indent="1"/>
    </xf>
    <xf numFmtId="0" fontId="1" fillId="19" borderId="84" applyNumberFormat="0" applyProtection="0">
      <alignment horizontal="left" vertical="center" indent="1"/>
    </xf>
    <xf numFmtId="4" fontId="38" fillId="20" borderId="84" applyNumberFormat="0" applyProtection="0">
      <alignment horizontal="right" vertical="center"/>
    </xf>
    <xf numFmtId="4" fontId="38" fillId="21" borderId="84" applyNumberFormat="0" applyProtection="0">
      <alignment horizontal="right" vertical="center"/>
    </xf>
    <xf numFmtId="4" fontId="38" fillId="22" borderId="84" applyNumberFormat="0" applyProtection="0">
      <alignment horizontal="right" vertical="center"/>
    </xf>
    <xf numFmtId="0" fontId="2" fillId="0" borderId="57">
      <alignment horizontal="left" vertical="center"/>
    </xf>
    <xf numFmtId="4" fontId="38" fillId="23" borderId="84" applyNumberFormat="0" applyProtection="0">
      <alignment horizontal="right" vertical="center"/>
    </xf>
    <xf numFmtId="4" fontId="38" fillId="30" borderId="84" applyNumberFormat="0" applyProtection="0">
      <alignment horizontal="left" vertical="center" indent="1"/>
    </xf>
    <xf numFmtId="4" fontId="38" fillId="18" borderId="84" applyNumberFormat="0" applyProtection="0">
      <alignment vertical="center"/>
    </xf>
    <xf numFmtId="4" fontId="64" fillId="18" borderId="84" applyNumberFormat="0" applyProtection="0">
      <alignment vertical="center"/>
    </xf>
    <xf numFmtId="4" fontId="38" fillId="18" borderId="84" applyNumberFormat="0" applyProtection="0">
      <alignment horizontal="left" vertical="center" indent="1"/>
    </xf>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38" fillId="21" borderId="84" applyNumberFormat="0" applyProtection="0">
      <alignment horizontal="right" vertical="center"/>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5" fillId="44" borderId="81" applyNumberFormat="0" applyProtection="0">
      <alignment horizontal="left" vertical="top" indent="1"/>
    </xf>
    <xf numFmtId="0" fontId="5" fillId="60" borderId="81" applyNumberFormat="0" applyProtection="0">
      <alignment horizontal="left" vertical="top" indent="1"/>
    </xf>
    <xf numFmtId="4" fontId="38" fillId="20" borderId="84"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94" fillId="58" borderId="58" applyNumberFormat="0" applyFont="0" applyAlignment="0" applyProtection="0"/>
    <xf numFmtId="0" fontId="5" fillId="44" borderId="81" applyNumberFormat="0" applyProtection="0">
      <alignment horizontal="left" vertical="top" indent="1"/>
    </xf>
    <xf numFmtId="0" fontId="5" fillId="60" borderId="81" applyNumberFormat="0" applyProtection="0">
      <alignment horizontal="left" vertical="top" indent="1"/>
    </xf>
    <xf numFmtId="4" fontId="38" fillId="28" borderId="84" applyNumberFormat="0" applyProtection="0">
      <alignment horizontal="right" vertical="center"/>
    </xf>
    <xf numFmtId="0" fontId="94" fillId="58" borderId="58" applyNumberFormat="0" applyFont="0" applyAlignment="0" applyProtection="0"/>
    <xf numFmtId="4" fontId="38" fillId="27" borderId="84" applyNumberFormat="0" applyProtection="0">
      <alignment horizontal="right" vertical="center"/>
    </xf>
    <xf numFmtId="4" fontId="38" fillId="24" borderId="84" applyNumberFormat="0" applyProtection="0">
      <alignment horizontal="right" vertical="center"/>
    </xf>
    <xf numFmtId="4" fontId="65" fillId="29" borderId="84" applyNumberFormat="0" applyProtection="0">
      <alignment horizontal="left" vertical="center" indent="1"/>
    </xf>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94" fillId="58" borderId="58" applyNumberFormat="0" applyFont="0" applyAlignment="0" applyProtection="0"/>
    <xf numFmtId="0" fontId="5" fillId="44" borderId="81" applyNumberFormat="0" applyProtection="0">
      <alignment horizontal="left" vertical="top" indent="1"/>
    </xf>
    <xf numFmtId="0" fontId="5" fillId="60" borderId="81" applyNumberFormat="0" applyProtection="0">
      <alignment horizontal="left" vertical="top" indent="1"/>
    </xf>
    <xf numFmtId="0" fontId="94" fillId="58" borderId="58" applyNumberFormat="0" applyFont="0" applyAlignment="0" applyProtection="0"/>
    <xf numFmtId="0" fontId="1" fillId="58" borderId="58" applyNumberFormat="0" applyFont="0" applyAlignment="0" applyProtection="0"/>
    <xf numFmtId="0" fontId="107" fillId="34" borderId="84" applyNumberFormat="0" applyAlignment="0" applyProtection="0"/>
    <xf numFmtId="0" fontId="109" fillId="0" borderId="85" applyNumberFormat="0" applyFill="0" applyAlignment="0" applyProtection="0"/>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0" fontId="1" fillId="19" borderId="84" applyNumberFormat="0" applyProtection="0">
      <alignment horizontal="left" vertical="center" indent="1"/>
    </xf>
    <xf numFmtId="4" fontId="5" fillId="59" borderId="55" applyNumberFormat="0" applyProtection="0">
      <alignment horizontal="right" vertical="center"/>
    </xf>
    <xf numFmtId="0" fontId="94" fillId="58" borderId="58" applyNumberFormat="0" applyFont="0" applyAlignment="0" applyProtection="0"/>
    <xf numFmtId="0" fontId="5" fillId="44" borderId="81" applyNumberFormat="0" applyProtection="0">
      <alignment horizontal="left" vertical="top" indent="1"/>
    </xf>
    <xf numFmtId="0" fontId="5" fillId="60" borderId="81" applyNumberFormat="0" applyProtection="0">
      <alignment horizontal="left" vertical="top" indent="1"/>
    </xf>
    <xf numFmtId="0" fontId="1" fillId="19" borderId="84" applyNumberFormat="0" applyProtection="0">
      <alignment horizontal="left" vertical="center" indent="1"/>
    </xf>
    <xf numFmtId="0" fontId="94" fillId="58" borderId="58" applyNumberFormat="0" applyFont="0" applyAlignment="0" applyProtection="0"/>
    <xf numFmtId="0" fontId="97" fillId="34" borderId="50" applyNumberFormat="0" applyAlignment="0" applyProtection="0"/>
    <xf numFmtId="4" fontId="38" fillId="18" borderId="84" applyNumberFormat="0" applyProtection="0">
      <alignment horizontal="left" vertical="center" indent="1"/>
    </xf>
    <xf numFmtId="4" fontId="38" fillId="3" borderId="84" applyNumberFormat="0" applyProtection="0">
      <alignment horizontal="left" vertical="center" indent="1"/>
    </xf>
    <xf numFmtId="0" fontId="1" fillId="33" borderId="84" applyNumberFormat="0" applyProtection="0">
      <alignment horizontal="left" vertical="center" indent="1"/>
    </xf>
    <xf numFmtId="4" fontId="68" fillId="30" borderId="84" applyNumberFormat="0" applyProtection="0">
      <alignment horizontal="righ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4" fontId="64" fillId="30" borderId="84" applyNumberFormat="0" applyProtection="0">
      <alignment horizontal="right" vertical="center"/>
    </xf>
    <xf numFmtId="4" fontId="38" fillId="30" borderId="84" applyNumberFormat="0" applyProtection="0">
      <alignment horizontal="right" vertical="center"/>
    </xf>
    <xf numFmtId="4" fontId="38" fillId="3" borderId="84" applyNumberFormat="0" applyProtection="0">
      <alignment horizontal="left" vertical="center" indent="1"/>
    </xf>
    <xf numFmtId="4" fontId="64" fillId="3" borderId="84" applyNumberFormat="0" applyProtection="0">
      <alignment vertical="center"/>
    </xf>
    <xf numFmtId="4" fontId="38" fillId="3" borderId="84" applyNumberFormat="0" applyProtection="0">
      <alignmen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0" fontId="1" fillId="2" borderId="84" applyNumberFormat="0" applyProtection="0">
      <alignment horizontal="left" vertical="center" indent="1"/>
    </xf>
    <xf numFmtId="0" fontId="1" fillId="2" borderId="84" applyNumberFormat="0" applyProtection="0">
      <alignment horizontal="left" vertical="center" indent="1"/>
    </xf>
    <xf numFmtId="0" fontId="1" fillId="33" borderId="84" applyNumberFormat="0" applyProtection="0">
      <alignment horizontal="left" vertical="center" indent="1"/>
    </xf>
    <xf numFmtId="0" fontId="1" fillId="33" borderId="84" applyNumberFormat="0" applyProtection="0">
      <alignment horizontal="left" vertical="center" indent="1"/>
    </xf>
    <xf numFmtId="0" fontId="1" fillId="32" borderId="84" applyNumberFormat="0" applyProtection="0">
      <alignment horizontal="left" vertical="center" indent="1"/>
    </xf>
    <xf numFmtId="0" fontId="1" fillId="32" borderId="84" applyNumberFormat="0" applyProtection="0">
      <alignment horizontal="left" vertical="center" indent="1"/>
    </xf>
    <xf numFmtId="4" fontId="38" fillId="32" borderId="84" applyNumberFormat="0" applyProtection="0">
      <alignment horizontal="left" vertical="center" indent="1"/>
    </xf>
    <xf numFmtId="4" fontId="38" fillId="30" borderId="84" applyNumberFormat="0" applyProtection="0">
      <alignment horizontal="left" vertical="center" indent="1"/>
    </xf>
    <xf numFmtId="0" fontId="1" fillId="19" borderId="84" applyNumberFormat="0" applyProtection="0">
      <alignment horizontal="left" vertical="center" indent="1"/>
    </xf>
    <xf numFmtId="4" fontId="65" fillId="29" borderId="84" applyNumberFormat="0" applyProtection="0">
      <alignment horizontal="left" vertical="center" indent="1"/>
    </xf>
    <xf numFmtId="4" fontId="38" fillId="23" borderId="84" applyNumberFormat="0" applyProtection="0">
      <alignment horizontal="right" vertical="center"/>
    </xf>
    <xf numFmtId="0" fontId="1" fillId="19" borderId="84" applyNumberFormat="0" applyProtection="0">
      <alignment horizontal="left" vertical="center" indent="1"/>
    </xf>
    <xf numFmtId="4" fontId="38" fillId="18" borderId="84" applyNumberFormat="0" applyProtection="0">
      <alignment horizontal="left" vertical="center" indent="1"/>
    </xf>
    <xf numFmtId="4" fontId="38" fillId="18" borderId="84" applyNumberFormat="0" applyProtection="0">
      <alignment horizontal="left" vertical="center" indent="1"/>
    </xf>
    <xf numFmtId="4" fontId="64" fillId="18" borderId="84" applyNumberFormat="0" applyProtection="0">
      <alignment vertical="center"/>
    </xf>
    <xf numFmtId="4" fontId="38" fillId="18" borderId="84" applyNumberFormat="0" applyProtection="0">
      <alignment vertical="center"/>
    </xf>
    <xf numFmtId="0" fontId="109" fillId="0" borderId="85" applyNumberFormat="0" applyFill="0" applyAlignment="0" applyProtection="0"/>
    <xf numFmtId="0" fontId="107" fillId="34" borderId="84" applyNumberFormat="0" applyAlignment="0" applyProtection="0"/>
    <xf numFmtId="4" fontId="38" fillId="28" borderId="84" applyNumberFormat="0" applyProtection="0">
      <alignment horizontal="right" vertical="center"/>
    </xf>
    <xf numFmtId="0" fontId="97" fillId="34" borderId="50" applyNumberFormat="0" applyAlignment="0" applyProtection="0"/>
    <xf numFmtId="0" fontId="1" fillId="32" borderId="84" applyNumberFormat="0" applyProtection="0">
      <alignment horizontal="left" vertical="center" indent="1"/>
    </xf>
    <xf numFmtId="4" fontId="38" fillId="24" borderId="84" applyNumberFormat="0" applyProtection="0">
      <alignment horizontal="right" vertical="center"/>
    </xf>
    <xf numFmtId="0" fontId="104" fillId="43" borderId="50" applyNumberFormat="0" applyAlignment="0" applyProtection="0"/>
    <xf numFmtId="4" fontId="38" fillId="26" borderId="84" applyNumberFormat="0" applyProtection="0">
      <alignment horizontal="right" vertical="center"/>
    </xf>
    <xf numFmtId="4" fontId="38" fillId="26" borderId="84" applyNumberFormat="0" applyProtection="0">
      <alignment horizontal="right" vertical="center"/>
    </xf>
    <xf numFmtId="0" fontId="1" fillId="58" borderId="58" applyNumberFormat="0" applyFont="0" applyAlignment="0" applyProtection="0"/>
    <xf numFmtId="4" fontId="38" fillId="27" borderId="84" applyNumberFormat="0" applyProtection="0">
      <alignment horizontal="right" vertical="center"/>
    </xf>
    <xf numFmtId="4" fontId="38" fillId="25" borderId="84" applyNumberFormat="0" applyProtection="0">
      <alignment horizontal="right" vertical="center"/>
    </xf>
    <xf numFmtId="4" fontId="38" fillId="22" borderId="84" applyNumberFormat="0" applyProtection="0">
      <alignment horizontal="right" vertical="center"/>
    </xf>
    <xf numFmtId="0" fontId="1" fillId="19" borderId="84" applyNumberFormat="0" applyProtection="0">
      <alignment horizontal="left" vertical="center" indent="1"/>
    </xf>
    <xf numFmtId="0" fontId="1" fillId="58" borderId="58" applyNumberFormat="0" applyFont="0" applyAlignment="0" applyProtection="0"/>
    <xf numFmtId="5" fontId="55" fillId="0" borderId="48">
      <alignment horizontal="left" vertical="top"/>
    </xf>
    <xf numFmtId="0" fontId="1" fillId="19" borderId="84" applyNumberFormat="0" applyProtection="0">
      <alignment horizontal="left" vertical="center" indent="1"/>
    </xf>
    <xf numFmtId="4" fontId="38" fillId="32" borderId="84" applyNumberFormat="0" applyProtection="0">
      <alignment horizontal="left" vertical="center" indent="1"/>
    </xf>
    <xf numFmtId="0" fontId="1" fillId="32" borderId="84" applyNumberFormat="0" applyProtection="0">
      <alignment horizontal="left" vertical="center" indent="1"/>
    </xf>
    <xf numFmtId="0" fontId="1" fillId="2" borderId="84" applyNumberFormat="0" applyProtection="0">
      <alignment horizontal="left" vertical="center" indent="1"/>
    </xf>
    <xf numFmtId="4" fontId="38" fillId="3" borderId="84" applyNumberFormat="0" applyProtection="0">
      <alignment horizontal="left" vertical="center" indent="1"/>
    </xf>
    <xf numFmtId="0" fontId="107" fillId="34" borderId="84" applyNumberFormat="0" applyAlignment="0" applyProtection="0"/>
    <xf numFmtId="0" fontId="109" fillId="0" borderId="85" applyNumberFormat="0" applyFill="0" applyAlignment="0" applyProtection="0"/>
    <xf numFmtId="4" fontId="5" fillId="59" borderId="55" applyNumberFormat="0" applyProtection="0">
      <alignment horizontal="right" vertical="center"/>
    </xf>
    <xf numFmtId="0" fontId="5" fillId="34" borderId="55" applyNumberFormat="0" applyProtection="0">
      <alignment horizontal="left" vertical="center" indent="1"/>
    </xf>
    <xf numFmtId="0" fontId="5" fillId="44" borderId="81" applyNumberFormat="0" applyProtection="0">
      <alignment horizontal="left" vertical="top" indent="1"/>
    </xf>
    <xf numFmtId="0" fontId="5" fillId="59" borderId="81" applyNumberFormat="0" applyProtection="0">
      <alignment horizontal="left" vertical="top" indent="1"/>
    </xf>
    <xf numFmtId="0" fontId="5" fillId="60" borderId="81" applyNumberFormat="0" applyProtection="0">
      <alignment horizontal="left" vertical="top" indent="1"/>
    </xf>
    <xf numFmtId="4" fontId="5" fillId="50" borderId="55" applyNumberFormat="0" applyProtection="0">
      <alignment horizontal="left" vertical="center" indent="1"/>
    </xf>
    <xf numFmtId="4" fontId="111" fillId="15" borderId="55" applyNumberFormat="0" applyProtection="0">
      <alignment horizontal="right" vertical="center"/>
    </xf>
    <xf numFmtId="4" fontId="5" fillId="0" borderId="55" applyNumberFormat="0" applyProtection="0">
      <alignment horizontal="right" vertical="center"/>
    </xf>
    <xf numFmtId="4" fontId="38" fillId="25" borderId="84" applyNumberFormat="0" applyProtection="0">
      <alignment horizontal="right" vertical="center"/>
    </xf>
    <xf numFmtId="6" fontId="79" fillId="36" borderId="48"/>
    <xf numFmtId="5" fontId="77" fillId="30" borderId="48">
      <alignment vertical="top"/>
    </xf>
    <xf numFmtId="0" fontId="1" fillId="33" borderId="84" applyNumberFormat="0" applyProtection="0">
      <alignment horizontal="left" vertical="center" indent="1"/>
    </xf>
    <xf numFmtId="0" fontId="1" fillId="2" borderId="84" applyNumberFormat="0" applyProtection="0">
      <alignment horizontal="left" vertical="center" indent="1"/>
    </xf>
    <xf numFmtId="0" fontId="1" fillId="19" borderId="84" applyNumberFormat="0" applyProtection="0">
      <alignment horizontal="left" vertical="center" indent="1"/>
    </xf>
    <xf numFmtId="0" fontId="1" fillId="19" borderId="84" applyNumberFormat="0" applyProtection="0">
      <alignment horizontal="left" vertical="center" indent="1"/>
    </xf>
    <xf numFmtId="4" fontId="38" fillId="3" borderId="84" applyNumberFormat="0" applyProtection="0">
      <alignment vertical="center"/>
    </xf>
    <xf numFmtId="4" fontId="64" fillId="3" borderId="84" applyNumberFormat="0" applyProtection="0">
      <alignment vertical="center"/>
    </xf>
    <xf numFmtId="4" fontId="38" fillId="3" borderId="84" applyNumberFormat="0" applyProtection="0">
      <alignment horizontal="left" vertical="center" indent="1"/>
    </xf>
    <xf numFmtId="4" fontId="38" fillId="30" borderId="84" applyNumberFormat="0" applyProtection="0">
      <alignment horizontal="right" vertical="center"/>
    </xf>
    <xf numFmtId="4" fontId="64" fillId="30" borderId="84" applyNumberFormat="0" applyProtection="0">
      <alignment horizontal="right" vertical="center"/>
    </xf>
    <xf numFmtId="0" fontId="1" fillId="19" borderId="84" applyNumberFormat="0" applyProtection="0">
      <alignment horizontal="left" vertical="center" indent="1"/>
    </xf>
    <xf numFmtId="4" fontId="68" fillId="30" borderId="84" applyNumberFormat="0" applyProtection="0">
      <alignment horizontal="right" vertical="center"/>
    </xf>
    <xf numFmtId="0" fontId="1" fillId="2" borderId="84" applyNumberFormat="0" applyProtection="0">
      <alignment horizontal="left" vertical="center" indent="1"/>
    </xf>
    <xf numFmtId="4" fontId="38" fillId="18" borderId="84" applyNumberFormat="0" applyProtection="0">
      <alignment horizontal="left" vertical="center" indent="1"/>
    </xf>
    <xf numFmtId="0" fontId="1" fillId="19" borderId="84" applyNumberFormat="0" applyProtection="0">
      <alignment horizontal="left" vertical="center" indent="1"/>
    </xf>
    <xf numFmtId="4" fontId="38" fillId="20" borderId="84" applyNumberFormat="0" applyProtection="0">
      <alignment horizontal="right" vertical="center"/>
    </xf>
    <xf numFmtId="4" fontId="38" fillId="21" borderId="84" applyNumberFormat="0" applyProtection="0">
      <alignment horizontal="right" vertical="center"/>
    </xf>
    <xf numFmtId="4" fontId="38" fillId="22" borderId="84" applyNumberFormat="0" applyProtection="0">
      <alignment horizontal="right" vertical="center"/>
    </xf>
    <xf numFmtId="0" fontId="2" fillId="0" borderId="57">
      <alignment horizontal="left" vertical="center"/>
    </xf>
    <xf numFmtId="4" fontId="38" fillId="23" borderId="84" applyNumberFormat="0" applyProtection="0">
      <alignment horizontal="right" vertical="center"/>
    </xf>
    <xf numFmtId="4" fontId="38" fillId="30" borderId="84" applyNumberFormat="0" applyProtection="0">
      <alignment horizontal="left" vertical="center" indent="1"/>
    </xf>
    <xf numFmtId="4" fontId="38" fillId="18" borderId="84" applyNumberFormat="0" applyProtection="0">
      <alignment vertical="center"/>
    </xf>
    <xf numFmtId="4" fontId="64" fillId="18" borderId="84" applyNumberFormat="0" applyProtection="0">
      <alignment vertical="center"/>
    </xf>
    <xf numFmtId="4" fontId="38" fillId="18" borderId="84" applyNumberFormat="0" applyProtection="0">
      <alignment horizontal="left" vertical="center" indent="1"/>
    </xf>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38" fillId="21" borderId="84" applyNumberFormat="0" applyProtection="0">
      <alignment horizontal="right" vertical="center"/>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5" fillId="44" borderId="81" applyNumberFormat="0" applyProtection="0">
      <alignment horizontal="left" vertical="top" indent="1"/>
    </xf>
    <xf numFmtId="0" fontId="5" fillId="60" borderId="81" applyNumberFormat="0" applyProtection="0">
      <alignment horizontal="left" vertical="top" indent="1"/>
    </xf>
    <xf numFmtId="4" fontId="38" fillId="20" borderId="84"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94" fillId="58" borderId="58" applyNumberFormat="0" applyFont="0" applyAlignment="0" applyProtection="0"/>
    <xf numFmtId="0" fontId="5" fillId="44" borderId="81" applyNumberFormat="0" applyProtection="0">
      <alignment horizontal="left" vertical="top" indent="1"/>
    </xf>
    <xf numFmtId="0" fontId="5" fillId="60" borderId="81" applyNumberFormat="0" applyProtection="0">
      <alignment horizontal="left" vertical="top" indent="1"/>
    </xf>
    <xf numFmtId="4" fontId="38" fillId="28" borderId="84" applyNumberFormat="0" applyProtection="0">
      <alignment horizontal="right" vertical="center"/>
    </xf>
    <xf numFmtId="0" fontId="94" fillId="58" borderId="58" applyNumberFormat="0" applyFont="0" applyAlignment="0" applyProtection="0"/>
    <xf numFmtId="4" fontId="38" fillId="27" borderId="84" applyNumberFormat="0" applyProtection="0">
      <alignment horizontal="right" vertical="center"/>
    </xf>
    <xf numFmtId="4" fontId="38" fillId="24" borderId="84" applyNumberFormat="0" applyProtection="0">
      <alignment horizontal="right" vertical="center"/>
    </xf>
    <xf numFmtId="4" fontId="65" fillId="29" borderId="84" applyNumberFormat="0" applyProtection="0">
      <alignment horizontal="left" vertical="center" indent="1"/>
    </xf>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94" fillId="58" borderId="58" applyNumberFormat="0" applyFont="0" applyAlignment="0" applyProtection="0"/>
    <xf numFmtId="0" fontId="5" fillId="44" borderId="81" applyNumberFormat="0" applyProtection="0">
      <alignment horizontal="left" vertical="top" indent="1"/>
    </xf>
    <xf numFmtId="0" fontId="5" fillId="60" borderId="81" applyNumberFormat="0" applyProtection="0">
      <alignment horizontal="left" vertical="top" indent="1"/>
    </xf>
    <xf numFmtId="0" fontId="94" fillId="58" borderId="58" applyNumberFormat="0" applyFont="0" applyAlignment="0" applyProtection="0"/>
    <xf numFmtId="0" fontId="1" fillId="58" borderId="58" applyNumberFormat="0" applyFont="0" applyAlignment="0" applyProtection="0"/>
    <xf numFmtId="0" fontId="107" fillId="34" borderId="84" applyNumberFormat="0" applyAlignment="0" applyProtection="0"/>
    <xf numFmtId="0" fontId="109" fillId="0" borderId="85" applyNumberFormat="0" applyFill="0" applyAlignment="0" applyProtection="0"/>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0" fontId="1" fillId="19" borderId="84" applyNumberFormat="0" applyProtection="0">
      <alignment horizontal="left" vertical="center" indent="1"/>
    </xf>
    <xf numFmtId="4" fontId="5" fillId="59" borderId="55" applyNumberFormat="0" applyProtection="0">
      <alignment horizontal="right" vertical="center"/>
    </xf>
    <xf numFmtId="0" fontId="94" fillId="58" borderId="58" applyNumberFormat="0" applyFont="0" applyAlignment="0" applyProtection="0"/>
    <xf numFmtId="0" fontId="5" fillId="44" borderId="81" applyNumberFormat="0" applyProtection="0">
      <alignment horizontal="left" vertical="top" indent="1"/>
    </xf>
    <xf numFmtId="0" fontId="5" fillId="60" borderId="81" applyNumberFormat="0" applyProtection="0">
      <alignment horizontal="left" vertical="top" indent="1"/>
    </xf>
    <xf numFmtId="0" fontId="1" fillId="19" borderId="84" applyNumberFormat="0" applyProtection="0">
      <alignment horizontal="left" vertical="center" indent="1"/>
    </xf>
    <xf numFmtId="0" fontId="94" fillId="58" borderId="58" applyNumberFormat="0" applyFont="0" applyAlignment="0" applyProtection="0"/>
    <xf numFmtId="4" fontId="38" fillId="18" borderId="84" applyNumberFormat="0" applyProtection="0">
      <alignment horizontal="left" vertical="center" indent="1"/>
    </xf>
    <xf numFmtId="4" fontId="38" fillId="3" borderId="84" applyNumberFormat="0" applyProtection="0">
      <alignment horizontal="left" vertical="center" indent="1"/>
    </xf>
    <xf numFmtId="0" fontId="1" fillId="33" borderId="84" applyNumberFormat="0" applyProtection="0">
      <alignment horizontal="left" vertical="center" indent="1"/>
    </xf>
    <xf numFmtId="4" fontId="68" fillId="30" borderId="84" applyNumberFormat="0" applyProtection="0">
      <alignment horizontal="righ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4" fontId="64" fillId="30" borderId="84" applyNumberFormat="0" applyProtection="0">
      <alignment horizontal="right" vertical="center"/>
    </xf>
    <xf numFmtId="4" fontId="38" fillId="30" borderId="84" applyNumberFormat="0" applyProtection="0">
      <alignment horizontal="right" vertical="center"/>
    </xf>
    <xf numFmtId="4" fontId="38" fillId="3" borderId="84" applyNumberFormat="0" applyProtection="0">
      <alignment horizontal="left" vertical="center" indent="1"/>
    </xf>
    <xf numFmtId="4" fontId="64" fillId="3" borderId="84" applyNumberFormat="0" applyProtection="0">
      <alignment vertical="center"/>
    </xf>
    <xf numFmtId="4" fontId="38" fillId="3" borderId="84" applyNumberFormat="0" applyProtection="0">
      <alignmen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0" fontId="1" fillId="2" borderId="84" applyNumberFormat="0" applyProtection="0">
      <alignment horizontal="left" vertical="center" indent="1"/>
    </xf>
    <xf numFmtId="0" fontId="1" fillId="2" borderId="84" applyNumberFormat="0" applyProtection="0">
      <alignment horizontal="left" vertical="center" indent="1"/>
    </xf>
    <xf numFmtId="0" fontId="1" fillId="33" borderId="84" applyNumberFormat="0" applyProtection="0">
      <alignment horizontal="left" vertical="center" indent="1"/>
    </xf>
    <xf numFmtId="0" fontId="1" fillId="33" borderId="84" applyNumberFormat="0" applyProtection="0">
      <alignment horizontal="left" vertical="center" indent="1"/>
    </xf>
    <xf numFmtId="0" fontId="1" fillId="32" borderId="84" applyNumberFormat="0" applyProtection="0">
      <alignment horizontal="left" vertical="center" indent="1"/>
    </xf>
    <xf numFmtId="0" fontId="1" fillId="32" borderId="84" applyNumberFormat="0" applyProtection="0">
      <alignment horizontal="left" vertical="center" indent="1"/>
    </xf>
    <xf numFmtId="4" fontId="38" fillId="32" borderId="84" applyNumberFormat="0" applyProtection="0">
      <alignment horizontal="left" vertical="center" indent="1"/>
    </xf>
    <xf numFmtId="4" fontId="38" fillId="30" borderId="84" applyNumberFormat="0" applyProtection="0">
      <alignment horizontal="left" vertical="center" indent="1"/>
    </xf>
    <xf numFmtId="0" fontId="1" fillId="19" borderId="84" applyNumberFormat="0" applyProtection="0">
      <alignment horizontal="left" vertical="center" indent="1"/>
    </xf>
    <xf numFmtId="4" fontId="65" fillId="29" borderId="84" applyNumberFormat="0" applyProtection="0">
      <alignment horizontal="left" vertical="center" indent="1"/>
    </xf>
    <xf numFmtId="4" fontId="38" fillId="23" borderId="84" applyNumberFormat="0" applyProtection="0">
      <alignment horizontal="right" vertical="center"/>
    </xf>
    <xf numFmtId="0" fontId="1" fillId="19" borderId="84" applyNumberFormat="0" applyProtection="0">
      <alignment horizontal="left" vertical="center" indent="1"/>
    </xf>
    <xf numFmtId="4" fontId="38" fillId="18" borderId="84" applyNumberFormat="0" applyProtection="0">
      <alignment horizontal="left" vertical="center" indent="1"/>
    </xf>
    <xf numFmtId="4" fontId="38" fillId="18" borderId="84" applyNumberFormat="0" applyProtection="0">
      <alignment horizontal="left" vertical="center" indent="1"/>
    </xf>
    <xf numFmtId="4" fontId="64" fillId="18" borderId="84" applyNumberFormat="0" applyProtection="0">
      <alignment vertical="center"/>
    </xf>
    <xf numFmtId="4" fontId="38" fillId="18" borderId="84" applyNumberFormat="0" applyProtection="0">
      <alignment vertical="center"/>
    </xf>
    <xf numFmtId="0" fontId="109" fillId="0" borderId="85" applyNumberFormat="0" applyFill="0" applyAlignment="0" applyProtection="0"/>
    <xf numFmtId="0" fontId="107" fillId="34" borderId="84" applyNumberFormat="0" applyAlignment="0" applyProtection="0"/>
    <xf numFmtId="4" fontId="38" fillId="28" borderId="84" applyNumberFormat="0" applyProtection="0">
      <alignment horizontal="right" vertical="center"/>
    </xf>
    <xf numFmtId="0" fontId="97" fillId="34" borderId="50" applyNumberFormat="0" applyAlignment="0" applyProtection="0"/>
    <xf numFmtId="0" fontId="1" fillId="32" borderId="84" applyNumberFormat="0" applyProtection="0">
      <alignment horizontal="left" vertical="center" indent="1"/>
    </xf>
    <xf numFmtId="4" fontId="38" fillId="24" borderId="84" applyNumberFormat="0" applyProtection="0">
      <alignment horizontal="right" vertical="center"/>
    </xf>
    <xf numFmtId="0" fontId="104" fillId="43" borderId="50" applyNumberFormat="0" applyAlignment="0" applyProtection="0"/>
    <xf numFmtId="4" fontId="38" fillId="26" borderId="84" applyNumberFormat="0" applyProtection="0">
      <alignment horizontal="right" vertical="center"/>
    </xf>
    <xf numFmtId="4" fontId="38" fillId="26" borderId="84" applyNumberFormat="0" applyProtection="0">
      <alignment horizontal="right" vertical="center"/>
    </xf>
    <xf numFmtId="0" fontId="1" fillId="58" borderId="58" applyNumberFormat="0" applyFont="0" applyAlignment="0" applyProtection="0"/>
    <xf numFmtId="4" fontId="38" fillId="27" borderId="84" applyNumberFormat="0" applyProtection="0">
      <alignment horizontal="right" vertical="center"/>
    </xf>
    <xf numFmtId="4" fontId="38" fillId="25" borderId="84" applyNumberFormat="0" applyProtection="0">
      <alignment horizontal="right" vertical="center"/>
    </xf>
    <xf numFmtId="4" fontId="38" fillId="22" borderId="84" applyNumberFormat="0" applyProtection="0">
      <alignment horizontal="right" vertical="center"/>
    </xf>
    <xf numFmtId="0" fontId="1" fillId="19" borderId="84" applyNumberFormat="0" applyProtection="0">
      <alignment horizontal="left" vertical="center" indent="1"/>
    </xf>
    <xf numFmtId="0" fontId="1" fillId="58" borderId="58" applyNumberFormat="0" applyFont="0" applyAlignment="0" applyProtection="0"/>
    <xf numFmtId="5" fontId="55" fillId="0" borderId="48">
      <alignment horizontal="left" vertical="top"/>
    </xf>
    <xf numFmtId="0" fontId="1" fillId="19" borderId="84" applyNumberFormat="0" applyProtection="0">
      <alignment horizontal="left" vertical="center" indent="1"/>
    </xf>
    <xf numFmtId="4" fontId="38" fillId="32" borderId="84" applyNumberFormat="0" applyProtection="0">
      <alignment horizontal="left" vertical="center" indent="1"/>
    </xf>
    <xf numFmtId="0" fontId="1" fillId="32" borderId="84" applyNumberFormat="0" applyProtection="0">
      <alignment horizontal="left" vertical="center" indent="1"/>
    </xf>
    <xf numFmtId="0" fontId="1" fillId="2" borderId="84" applyNumberFormat="0" applyProtection="0">
      <alignment horizontal="left" vertical="center" indent="1"/>
    </xf>
    <xf numFmtId="4" fontId="38" fillId="3" borderId="84" applyNumberFormat="0" applyProtection="0">
      <alignment horizontal="left" vertical="center" indent="1"/>
    </xf>
    <xf numFmtId="0" fontId="107" fillId="34" borderId="84" applyNumberFormat="0" applyAlignment="0" applyProtection="0"/>
    <xf numFmtId="0" fontId="109" fillId="0" borderId="85" applyNumberFormat="0" applyFill="0" applyAlignment="0" applyProtection="0"/>
    <xf numFmtId="4" fontId="5" fillId="59" borderId="55" applyNumberFormat="0" applyProtection="0">
      <alignment horizontal="right" vertical="center"/>
    </xf>
    <xf numFmtId="0" fontId="5" fillId="34" borderId="55" applyNumberFormat="0" applyProtection="0">
      <alignment horizontal="left" vertical="center" indent="1"/>
    </xf>
    <xf numFmtId="0" fontId="5" fillId="44" borderId="81" applyNumberFormat="0" applyProtection="0">
      <alignment horizontal="left" vertical="top" indent="1"/>
    </xf>
    <xf numFmtId="0" fontId="5" fillId="59" borderId="81" applyNumberFormat="0" applyProtection="0">
      <alignment horizontal="left" vertical="top" indent="1"/>
    </xf>
    <xf numFmtId="0" fontId="5" fillId="60" borderId="81" applyNumberFormat="0" applyProtection="0">
      <alignment horizontal="left" vertical="top" indent="1"/>
    </xf>
    <xf numFmtId="4" fontId="5" fillId="50" borderId="55" applyNumberFormat="0" applyProtection="0">
      <alignment horizontal="left" vertical="center" indent="1"/>
    </xf>
    <xf numFmtId="4" fontId="111" fillId="15" borderId="55" applyNumberFormat="0" applyProtection="0">
      <alignment horizontal="right" vertical="center"/>
    </xf>
    <xf numFmtId="4" fontId="5" fillId="0" borderId="55" applyNumberFormat="0" applyProtection="0">
      <alignment horizontal="right" vertical="center"/>
    </xf>
    <xf numFmtId="4" fontId="38" fillId="25" borderId="84" applyNumberFormat="0" applyProtection="0">
      <alignment horizontal="right" vertical="center"/>
    </xf>
    <xf numFmtId="6" fontId="79" fillId="36" borderId="48"/>
    <xf numFmtId="5" fontId="77" fillId="30" borderId="48">
      <alignment vertical="top"/>
    </xf>
    <xf numFmtId="0" fontId="1" fillId="33" borderId="84" applyNumberFormat="0" applyProtection="0">
      <alignment horizontal="left" vertical="center" indent="1"/>
    </xf>
    <xf numFmtId="0" fontId="1" fillId="2" borderId="84" applyNumberFormat="0" applyProtection="0">
      <alignment horizontal="left" vertical="center" indent="1"/>
    </xf>
    <xf numFmtId="0" fontId="1" fillId="19" borderId="84" applyNumberFormat="0" applyProtection="0">
      <alignment horizontal="left" vertical="center" indent="1"/>
    </xf>
    <xf numFmtId="0" fontId="1" fillId="19" borderId="84" applyNumberFormat="0" applyProtection="0">
      <alignment horizontal="left" vertical="center" indent="1"/>
    </xf>
    <xf numFmtId="4" fontId="38" fillId="3" borderId="84" applyNumberFormat="0" applyProtection="0">
      <alignment vertical="center"/>
    </xf>
    <xf numFmtId="4" fontId="64" fillId="3" borderId="84" applyNumberFormat="0" applyProtection="0">
      <alignment vertical="center"/>
    </xf>
    <xf numFmtId="4" fontId="38" fillId="3" borderId="84" applyNumberFormat="0" applyProtection="0">
      <alignment horizontal="left" vertical="center" indent="1"/>
    </xf>
    <xf numFmtId="4" fontId="38" fillId="30" borderId="84" applyNumberFormat="0" applyProtection="0">
      <alignment horizontal="right" vertical="center"/>
    </xf>
    <xf numFmtId="4" fontId="64" fillId="30" borderId="84" applyNumberFormat="0" applyProtection="0">
      <alignment horizontal="right" vertical="center"/>
    </xf>
    <xf numFmtId="0" fontId="1" fillId="19" borderId="84" applyNumberFormat="0" applyProtection="0">
      <alignment horizontal="left" vertical="center" indent="1"/>
    </xf>
    <xf numFmtId="4" fontId="68" fillId="30" borderId="84" applyNumberFormat="0" applyProtection="0">
      <alignment horizontal="right" vertical="center"/>
    </xf>
    <xf numFmtId="0" fontId="1" fillId="2" borderId="84" applyNumberFormat="0" applyProtection="0">
      <alignment horizontal="left" vertical="center" indent="1"/>
    </xf>
    <xf numFmtId="4" fontId="38" fillId="18" borderId="84" applyNumberFormat="0" applyProtection="0">
      <alignment horizontal="left" vertical="center" indent="1"/>
    </xf>
    <xf numFmtId="0" fontId="1" fillId="19" borderId="84" applyNumberFormat="0" applyProtection="0">
      <alignment horizontal="left" vertical="center" indent="1"/>
    </xf>
    <xf numFmtId="4" fontId="38" fillId="20" borderId="84" applyNumberFormat="0" applyProtection="0">
      <alignment horizontal="right" vertical="center"/>
    </xf>
    <xf numFmtId="4" fontId="38" fillId="21" borderId="84" applyNumberFormat="0" applyProtection="0">
      <alignment horizontal="right" vertical="center"/>
    </xf>
    <xf numFmtId="4" fontId="38" fillId="22" borderId="84" applyNumberFormat="0" applyProtection="0">
      <alignment horizontal="right" vertical="center"/>
    </xf>
    <xf numFmtId="0" fontId="2" fillId="0" borderId="57">
      <alignment horizontal="left" vertical="center"/>
    </xf>
    <xf numFmtId="4" fontId="38" fillId="23" borderId="84" applyNumberFormat="0" applyProtection="0">
      <alignment horizontal="right" vertical="center"/>
    </xf>
    <xf numFmtId="4" fontId="38" fillId="30" borderId="84" applyNumberFormat="0" applyProtection="0">
      <alignment horizontal="left" vertical="center" indent="1"/>
    </xf>
    <xf numFmtId="4" fontId="38" fillId="18" borderId="84" applyNumberFormat="0" applyProtection="0">
      <alignment vertical="center"/>
    </xf>
    <xf numFmtId="4" fontId="64" fillId="18" borderId="84" applyNumberFormat="0" applyProtection="0">
      <alignment vertical="center"/>
    </xf>
    <xf numFmtId="4" fontId="38" fillId="18" borderId="84" applyNumberFormat="0" applyProtection="0">
      <alignment horizontal="left" vertical="center" indent="1"/>
    </xf>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38" fillId="21" borderId="84" applyNumberFormat="0" applyProtection="0">
      <alignment horizontal="right" vertical="center"/>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5" fillId="44" borderId="81" applyNumberFormat="0" applyProtection="0">
      <alignment horizontal="left" vertical="top" indent="1"/>
    </xf>
    <xf numFmtId="0" fontId="5" fillId="60" borderId="81" applyNumberFormat="0" applyProtection="0">
      <alignment horizontal="left" vertical="top" indent="1"/>
    </xf>
    <xf numFmtId="4" fontId="38" fillId="20" borderId="84" applyNumberFormat="0" applyProtection="0">
      <alignment horizontal="right" vertical="center"/>
    </xf>
    <xf numFmtId="0" fontId="2" fillId="0" borderId="57">
      <alignment horizontal="lef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94" fillId="58" borderId="58" applyNumberFormat="0" applyFont="0" applyAlignment="0" applyProtection="0"/>
    <xf numFmtId="0" fontId="5" fillId="44" borderId="81" applyNumberFormat="0" applyProtection="0">
      <alignment horizontal="left" vertical="top" indent="1"/>
    </xf>
    <xf numFmtId="0" fontId="5" fillId="60" borderId="81" applyNumberFormat="0" applyProtection="0">
      <alignment horizontal="left" vertical="top" indent="1"/>
    </xf>
    <xf numFmtId="4" fontId="38" fillId="28" borderId="84" applyNumberFormat="0" applyProtection="0">
      <alignment horizontal="right" vertical="center"/>
    </xf>
    <xf numFmtId="0" fontId="94" fillId="58" borderId="58" applyNumberFormat="0" applyFont="0" applyAlignment="0" applyProtection="0"/>
    <xf numFmtId="4" fontId="38" fillId="27" borderId="84" applyNumberFormat="0" applyProtection="0">
      <alignment horizontal="right" vertical="center"/>
    </xf>
    <xf numFmtId="4" fontId="38" fillId="24" borderId="84" applyNumberFormat="0" applyProtection="0">
      <alignment horizontal="right" vertical="center"/>
    </xf>
    <xf numFmtId="4" fontId="65" fillId="29" borderId="84" applyNumberFormat="0" applyProtection="0">
      <alignment horizontal="left" vertical="center" indent="1"/>
    </xf>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94" fillId="58" borderId="58" applyNumberFormat="0" applyFont="0" applyAlignment="0" applyProtection="0"/>
    <xf numFmtId="0" fontId="5" fillId="44" borderId="81" applyNumberFormat="0" applyProtection="0">
      <alignment horizontal="left" vertical="top" indent="1"/>
    </xf>
    <xf numFmtId="0" fontId="5" fillId="60" borderId="81" applyNumberFormat="0" applyProtection="0">
      <alignment horizontal="left" vertical="top" indent="1"/>
    </xf>
    <xf numFmtId="0" fontId="94" fillId="58" borderId="58" applyNumberFormat="0" applyFont="0" applyAlignment="0" applyProtection="0"/>
    <xf numFmtId="0" fontId="1" fillId="58" borderId="58" applyNumberFormat="0" applyFont="0" applyAlignment="0" applyProtection="0"/>
    <xf numFmtId="0" fontId="107" fillId="34" borderId="84" applyNumberFormat="0" applyAlignment="0" applyProtection="0"/>
    <xf numFmtId="0" fontId="109" fillId="0" borderId="85" applyNumberFormat="0" applyFill="0" applyAlignment="0" applyProtection="0"/>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94" fillId="58" borderId="58" applyNumberFormat="0" applyFont="0" applyAlignment="0" applyProtection="0"/>
    <xf numFmtId="0" fontId="5" fillId="44" borderId="81" applyNumberFormat="0" applyProtection="0">
      <alignment horizontal="left" vertical="top" indent="1"/>
    </xf>
    <xf numFmtId="0" fontId="5" fillId="60" borderId="81" applyNumberFormat="0" applyProtection="0">
      <alignment horizontal="left" vertical="top" indent="1"/>
    </xf>
    <xf numFmtId="0" fontId="94" fillId="58" borderId="58" applyNumberFormat="0" applyFont="0" applyAlignment="0" applyProtection="0"/>
    <xf numFmtId="4" fontId="38" fillId="3" borderId="84" applyNumberFormat="0" applyProtection="0">
      <alignment horizontal="left" vertical="center" indent="1"/>
    </xf>
    <xf numFmtId="4" fontId="68" fillId="30" borderId="84" applyNumberFormat="0" applyProtection="0">
      <alignment horizontal="righ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4" fontId="64" fillId="30" borderId="84" applyNumberFormat="0" applyProtection="0">
      <alignment horizontal="right" vertical="center"/>
    </xf>
    <xf numFmtId="4" fontId="38" fillId="30" borderId="84" applyNumberFormat="0" applyProtection="0">
      <alignment horizontal="right" vertical="center"/>
    </xf>
    <xf numFmtId="4" fontId="38" fillId="3" borderId="84" applyNumberFormat="0" applyProtection="0">
      <alignment horizontal="left" vertical="center" indent="1"/>
    </xf>
    <xf numFmtId="4" fontId="64" fillId="3" borderId="84" applyNumberFormat="0" applyProtection="0">
      <alignment vertical="center"/>
    </xf>
    <xf numFmtId="4" fontId="38" fillId="3" borderId="84" applyNumberFormat="0" applyProtection="0">
      <alignment vertical="center"/>
    </xf>
    <xf numFmtId="0" fontId="1" fillId="19" borderId="84" applyNumberFormat="0" applyProtection="0">
      <alignment horizontal="left" vertical="center" indent="1"/>
    </xf>
    <xf numFmtId="0" fontId="1" fillId="19" borderId="84" applyNumberFormat="0" applyProtection="0">
      <alignment horizontal="left" vertical="center" indent="1"/>
    </xf>
    <xf numFmtId="0" fontId="1" fillId="2" borderId="84" applyNumberFormat="0" applyProtection="0">
      <alignment horizontal="left" vertical="center" indent="1"/>
    </xf>
    <xf numFmtId="0" fontId="1" fillId="2" borderId="84" applyNumberFormat="0" applyProtection="0">
      <alignment horizontal="left" vertical="center" indent="1"/>
    </xf>
    <xf numFmtId="0" fontId="1" fillId="33" borderId="84" applyNumberFormat="0" applyProtection="0">
      <alignment horizontal="left" vertical="center" indent="1"/>
    </xf>
    <xf numFmtId="0" fontId="1" fillId="33" borderId="84" applyNumberFormat="0" applyProtection="0">
      <alignment horizontal="left" vertical="center" indent="1"/>
    </xf>
    <xf numFmtId="0" fontId="1" fillId="32" borderId="84" applyNumberFormat="0" applyProtection="0">
      <alignment horizontal="left" vertical="center" indent="1"/>
    </xf>
    <xf numFmtId="0" fontId="1" fillId="32" borderId="84" applyNumberFormat="0" applyProtection="0">
      <alignment horizontal="left" vertical="center" indent="1"/>
    </xf>
    <xf numFmtId="4" fontId="38" fillId="32" borderId="84" applyNumberFormat="0" applyProtection="0">
      <alignment horizontal="left" vertical="center" indent="1"/>
    </xf>
    <xf numFmtId="4" fontId="38" fillId="30" borderId="84" applyNumberFormat="0" applyProtection="0">
      <alignment horizontal="left" vertical="center" indent="1"/>
    </xf>
    <xf numFmtId="0" fontId="1" fillId="19" borderId="84" applyNumberFormat="0" applyProtection="0">
      <alignment horizontal="left" vertical="center" indent="1"/>
    </xf>
    <xf numFmtId="4" fontId="65" fillId="29" borderId="84" applyNumberFormat="0" applyProtection="0">
      <alignment horizontal="left" vertical="center" indent="1"/>
    </xf>
    <xf numFmtId="4" fontId="38" fillId="23" borderId="84" applyNumberFormat="0" applyProtection="0">
      <alignment horizontal="right" vertical="center"/>
    </xf>
    <xf numFmtId="0" fontId="1" fillId="19" borderId="84" applyNumberFormat="0" applyProtection="0">
      <alignment horizontal="left" vertical="center" indent="1"/>
    </xf>
    <xf numFmtId="4" fontId="38" fillId="18" borderId="84" applyNumberFormat="0" applyProtection="0">
      <alignment horizontal="left" vertical="center" indent="1"/>
    </xf>
    <xf numFmtId="4" fontId="38" fillId="18" borderId="84" applyNumberFormat="0" applyProtection="0">
      <alignment horizontal="left" vertical="center" indent="1"/>
    </xf>
    <xf numFmtId="4" fontId="64" fillId="18" borderId="84" applyNumberFormat="0" applyProtection="0">
      <alignment vertical="center"/>
    </xf>
    <xf numFmtId="4" fontId="38" fillId="18" borderId="84" applyNumberFormat="0" applyProtection="0">
      <alignment vertical="center"/>
    </xf>
    <xf numFmtId="0" fontId="109" fillId="0" borderId="85" applyNumberFormat="0" applyFill="0" applyAlignment="0" applyProtection="0"/>
    <xf numFmtId="0" fontId="107" fillId="34" borderId="84" applyNumberFormat="0" applyAlignment="0" applyProtection="0"/>
    <xf numFmtId="4" fontId="38" fillId="28" borderId="84" applyNumberFormat="0" applyProtection="0">
      <alignment horizontal="right" vertical="center"/>
    </xf>
    <xf numFmtId="4" fontId="38" fillId="24" borderId="84" applyNumberFormat="0" applyProtection="0">
      <alignment horizontal="right" vertical="center"/>
    </xf>
    <xf numFmtId="4" fontId="38" fillId="26" borderId="84" applyNumberFormat="0" applyProtection="0">
      <alignment horizontal="right" vertical="center"/>
    </xf>
    <xf numFmtId="0" fontId="1" fillId="58" borderId="58" applyNumberFormat="0" applyFont="0" applyAlignment="0" applyProtection="0"/>
    <xf numFmtId="4" fontId="38" fillId="27" borderId="84" applyNumberFormat="0" applyProtection="0">
      <alignment horizontal="right" vertical="center"/>
    </xf>
    <xf numFmtId="4" fontId="38" fillId="25" borderId="84" applyNumberFormat="0" applyProtection="0">
      <alignment horizontal="right" vertical="center"/>
    </xf>
    <xf numFmtId="4" fontId="38" fillId="22" borderId="84"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4" fontId="5" fillId="50" borderId="55" applyNumberFormat="0" applyProtection="0">
      <alignment horizontal="left" vertical="center" indent="1"/>
    </xf>
    <xf numFmtId="0" fontId="5" fillId="60" borderId="81" applyNumberFormat="0" applyProtection="0">
      <alignment horizontal="left" vertical="top" indent="1"/>
    </xf>
    <xf numFmtId="0" fontId="5" fillId="59" borderId="81" applyNumberFormat="0" applyProtection="0">
      <alignment horizontal="left" vertical="top" indent="1"/>
    </xf>
    <xf numFmtId="0" fontId="5" fillId="44" borderId="81" applyNumberFormat="0" applyProtection="0">
      <alignment horizontal="left" vertical="top" indent="1"/>
    </xf>
    <xf numFmtId="0" fontId="5" fillId="34" borderId="55" applyNumberFormat="0" applyProtection="0">
      <alignment horizontal="left" vertical="center" indent="1"/>
    </xf>
    <xf numFmtId="4" fontId="5" fillId="59" borderId="55" applyNumberFormat="0" applyProtection="0">
      <alignment horizontal="right" vertical="center"/>
    </xf>
    <xf numFmtId="4" fontId="5" fillId="0" borderId="55" applyNumberFormat="0" applyProtection="0">
      <alignment horizontal="right" vertical="center"/>
    </xf>
    <xf numFmtId="4" fontId="111" fillId="15" borderId="55" applyNumberFormat="0" applyProtection="0">
      <alignment horizontal="right" vertical="center"/>
    </xf>
    <xf numFmtId="0" fontId="5" fillId="61" borderId="55" applyNumberFormat="0" applyProtection="0">
      <alignment horizontal="left" vertical="center" indent="1"/>
    </xf>
    <xf numFmtId="0" fontId="5" fillId="44" borderId="55" applyNumberFormat="0" applyProtection="0">
      <alignment horizontal="left" vertical="center" indent="1"/>
    </xf>
    <xf numFmtId="0" fontId="5" fillId="62" borderId="55" applyNumberFormat="0" applyProtection="0">
      <alignment horizontal="left" vertical="center" indent="1"/>
    </xf>
    <xf numFmtId="4" fontId="112" fillId="63" borderId="55" applyNumberFormat="0" applyProtection="0">
      <alignment horizontal="right" vertical="center"/>
    </xf>
    <xf numFmtId="4" fontId="5" fillId="50" borderId="55" applyNumberFormat="0" applyProtection="0">
      <alignment horizontal="left" vertical="center" indent="1"/>
    </xf>
    <xf numFmtId="4" fontId="5" fillId="0" borderId="55" applyNumberFormat="0" applyProtection="0">
      <alignment horizontal="right" vertical="center"/>
    </xf>
    <xf numFmtId="0" fontId="5" fillId="34" borderId="55" applyNumberFormat="0" applyProtection="0">
      <alignment horizontal="left" vertical="center" indent="1"/>
    </xf>
    <xf numFmtId="0" fontId="5" fillId="59" borderId="81" applyNumberFormat="0" applyProtection="0">
      <alignment horizontal="left" vertical="top" indent="1"/>
    </xf>
    <xf numFmtId="4" fontId="38" fillId="21" borderId="84" applyNumberFormat="0" applyProtection="0">
      <alignment horizontal="right" vertical="center"/>
    </xf>
    <xf numFmtId="4" fontId="112" fillId="63" borderId="55" applyNumberFormat="0" applyProtection="0">
      <alignment horizontal="right" vertical="center"/>
    </xf>
    <xf numFmtId="0" fontId="5" fillId="62" borderId="55" applyNumberFormat="0" applyProtection="0">
      <alignment horizontal="left" vertical="center" indent="1"/>
    </xf>
    <xf numFmtId="0" fontId="5" fillId="44" borderId="55" applyNumberFormat="0" applyProtection="0">
      <alignment horizontal="left" vertical="center" indent="1"/>
    </xf>
    <xf numFmtId="0" fontId="5" fillId="61" borderId="55" applyNumberFormat="0" applyProtection="0">
      <alignment horizontal="left" vertical="center" indent="1"/>
    </xf>
    <xf numFmtId="4" fontId="5" fillId="59" borderId="55" applyNumberFormat="0" applyProtection="0">
      <alignment horizontal="right" vertical="center"/>
    </xf>
    <xf numFmtId="0" fontId="5" fillId="44" borderId="81" applyNumberFormat="0" applyProtection="0">
      <alignment horizontal="left" vertical="top" indent="1"/>
    </xf>
    <xf numFmtId="0" fontId="5" fillId="60" borderId="81" applyNumberFormat="0" applyProtection="0">
      <alignment horizontal="left" vertical="top" indent="1"/>
    </xf>
    <xf numFmtId="4" fontId="38" fillId="20" borderId="84" applyNumberFormat="0" applyProtection="0">
      <alignment horizontal="right" vertical="center"/>
    </xf>
    <xf numFmtId="0" fontId="2" fillId="0" borderId="57">
      <alignment horizontal="left" vertical="center"/>
    </xf>
    <xf numFmtId="0" fontId="94" fillId="58" borderId="58" applyNumberFormat="0" applyFont="0" applyAlignment="0" applyProtection="0"/>
    <xf numFmtId="0" fontId="94" fillId="58" borderId="58" applyNumberFormat="0" applyFont="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72" fillId="0" borderId="0" applyFont="0" applyFill="0" applyBorder="0" applyAlignment="0" applyProtection="0"/>
    <xf numFmtId="178" fontId="11" fillId="0" borderId="0" applyFont="0" applyFill="0" applyBorder="0" applyAlignment="0" applyProtection="0"/>
    <xf numFmtId="0" fontId="208" fillId="0" borderId="0"/>
    <xf numFmtId="0" fontId="218" fillId="0" borderId="0"/>
    <xf numFmtId="0" fontId="219" fillId="0" borderId="0"/>
    <xf numFmtId="0" fontId="219" fillId="0" borderId="0"/>
  </cellStyleXfs>
  <cellXfs count="2472">
    <xf numFmtId="0" fontId="0" fillId="0" borderId="0" xfId="0"/>
    <xf numFmtId="0" fontId="9" fillId="12" borderId="4" xfId="0" applyFont="1" applyFill="1" applyBorder="1"/>
    <xf numFmtId="0" fontId="11" fillId="0" borderId="4" xfId="0" applyFont="1" applyBorder="1"/>
    <xf numFmtId="0" fontId="9" fillId="0" borderId="4" xfId="0" applyFont="1" applyBorder="1" applyAlignment="1">
      <alignment wrapText="1"/>
    </xf>
    <xf numFmtId="0" fontId="11" fillId="0" borderId="4" xfId="0" applyFont="1" applyFill="1" applyBorder="1"/>
    <xf numFmtId="0" fontId="0" fillId="0" borderId="0" xfId="0" applyFont="1"/>
    <xf numFmtId="0" fontId="11" fillId="0" borderId="0" xfId="0" applyFont="1"/>
    <xf numFmtId="0" fontId="11" fillId="12" borderId="4" xfId="0" applyFont="1" applyFill="1" applyBorder="1"/>
    <xf numFmtId="0" fontId="9" fillId="0" borderId="6" xfId="1" applyFont="1" applyBorder="1" applyAlignment="1">
      <alignment horizontal="center"/>
    </xf>
    <xf numFmtId="0" fontId="9" fillId="0" borderId="4" xfId="1" applyFont="1" applyBorder="1" applyAlignment="1">
      <alignment horizontal="center"/>
    </xf>
    <xf numFmtId="0" fontId="9" fillId="0" borderId="10" xfId="1" applyFont="1" applyBorder="1" applyAlignment="1">
      <alignment horizontal="center"/>
    </xf>
    <xf numFmtId="0" fontId="9" fillId="9" borderId="9" xfId="1" applyFont="1" applyFill="1" applyBorder="1" applyAlignment="1">
      <alignment horizontal="left" wrapText="1"/>
    </xf>
    <xf numFmtId="0" fontId="11" fillId="8" borderId="4" xfId="0" applyFont="1" applyFill="1" applyBorder="1"/>
    <xf numFmtId="0" fontId="11" fillId="0" borderId="4" xfId="0" applyFont="1" applyBorder="1" applyAlignment="1">
      <alignment horizontal="center"/>
    </xf>
    <xf numFmtId="0" fontId="13" fillId="7" borderId="0" xfId="1" applyFont="1" applyFill="1" applyAlignment="1">
      <alignment horizontal="center"/>
    </xf>
    <xf numFmtId="0" fontId="9" fillId="4" borderId="5" xfId="1" applyFont="1" applyFill="1" applyBorder="1" applyAlignment="1"/>
    <xf numFmtId="0" fontId="13" fillId="4" borderId="7" xfId="1" applyFont="1" applyFill="1" applyBorder="1" applyAlignment="1"/>
    <xf numFmtId="0" fontId="13" fillId="4" borderId="13" xfId="1" applyFont="1" applyFill="1" applyBorder="1" applyAlignment="1"/>
    <xf numFmtId="0" fontId="13" fillId="4" borderId="8" xfId="1" applyFont="1" applyFill="1" applyBorder="1" applyAlignment="1"/>
    <xf numFmtId="0" fontId="9" fillId="4" borderId="17" xfId="1" applyFont="1" applyFill="1" applyBorder="1" applyAlignment="1"/>
    <xf numFmtId="0" fontId="13" fillId="4" borderId="11" xfId="1" applyFont="1" applyFill="1" applyBorder="1" applyAlignment="1"/>
    <xf numFmtId="0" fontId="13" fillId="4" borderId="15" xfId="1" applyFont="1" applyFill="1" applyBorder="1" applyAlignment="1"/>
    <xf numFmtId="0" fontId="13" fillId="4" borderId="18" xfId="1" applyFont="1" applyFill="1" applyBorder="1" applyAlignment="1"/>
    <xf numFmtId="0" fontId="9" fillId="0" borderId="10" xfId="1" applyFont="1" applyBorder="1" applyAlignment="1">
      <alignment horizontal="center" wrapText="1"/>
    </xf>
    <xf numFmtId="0" fontId="9" fillId="10" borderId="9" xfId="1" applyFont="1" applyFill="1" applyBorder="1" applyAlignment="1">
      <alignment horizontal="left" wrapText="1"/>
    </xf>
    <xf numFmtId="0" fontId="9" fillId="14" borderId="9" xfId="1" applyFont="1" applyFill="1" applyBorder="1" applyAlignment="1">
      <alignment horizontal="left" wrapText="1"/>
    </xf>
    <xf numFmtId="0" fontId="9" fillId="9" borderId="9" xfId="1" applyFont="1" applyFill="1" applyBorder="1" applyAlignment="1">
      <alignment wrapText="1"/>
    </xf>
    <xf numFmtId="0" fontId="9" fillId="0" borderId="4" xfId="1" applyFont="1" applyFill="1" applyBorder="1" applyAlignment="1">
      <alignment wrapText="1"/>
    </xf>
    <xf numFmtId="0" fontId="9" fillId="12" borderId="9" xfId="1" applyFont="1" applyFill="1" applyBorder="1" applyAlignment="1">
      <alignment wrapText="1"/>
    </xf>
    <xf numFmtId="0" fontId="9" fillId="12" borderId="9" xfId="1" applyFont="1" applyFill="1" applyBorder="1" applyAlignment="1">
      <alignment horizontal="left"/>
    </xf>
    <xf numFmtId="0" fontId="9" fillId="0" borderId="9" xfId="1" applyFont="1" applyFill="1" applyBorder="1" applyAlignment="1">
      <alignment wrapText="1"/>
    </xf>
    <xf numFmtId="0" fontId="9" fillId="11" borderId="9" xfId="1" applyFont="1" applyFill="1" applyBorder="1" applyAlignment="1">
      <alignment wrapText="1"/>
    </xf>
    <xf numFmtId="0" fontId="9" fillId="8" borderId="9" xfId="1" applyFont="1" applyFill="1" applyBorder="1" applyAlignment="1">
      <alignment wrapText="1"/>
    </xf>
    <xf numFmtId="0" fontId="9" fillId="8" borderId="9" xfId="1" applyFont="1" applyFill="1" applyBorder="1"/>
    <xf numFmtId="0" fontId="9" fillId="0" borderId="9" xfId="1" applyFont="1" applyFill="1" applyBorder="1"/>
    <xf numFmtId="0" fontId="9" fillId="0" borderId="4" xfId="1" applyFont="1" applyFill="1" applyBorder="1"/>
    <xf numFmtId="0" fontId="9" fillId="0" borderId="0" xfId="1" applyFont="1" applyBorder="1" applyAlignment="1">
      <alignment horizontal="center"/>
    </xf>
    <xf numFmtId="0" fontId="9" fillId="0" borderId="0" xfId="39" applyFont="1" applyBorder="1" applyAlignment="1">
      <alignment wrapText="1"/>
    </xf>
    <xf numFmtId="0" fontId="9" fillId="0" borderId="0" xfId="1" applyFont="1"/>
    <xf numFmtId="0" fontId="15" fillId="0" borderId="0" xfId="1" applyFont="1" applyAlignment="1">
      <alignment horizontal="left"/>
    </xf>
    <xf numFmtId="0" fontId="13" fillId="7" borderId="0" xfId="1" applyFont="1" applyFill="1" applyAlignment="1">
      <alignment horizontal="left"/>
    </xf>
    <xf numFmtId="0" fontId="9" fillId="0" borderId="0" xfId="1" applyFont="1" applyAlignment="1">
      <alignment horizontal="center"/>
    </xf>
    <xf numFmtId="0" fontId="13" fillId="0" borderId="4" xfId="0" applyFont="1" applyBorder="1" applyAlignment="1">
      <alignment horizontal="center" wrapText="1"/>
    </xf>
    <xf numFmtId="0" fontId="0" fillId="0" borderId="0" xfId="0" applyFont="1" applyAlignment="1">
      <alignment horizontal="center"/>
    </xf>
    <xf numFmtId="0" fontId="0" fillId="0" borderId="0" xfId="0" applyFont="1" applyAlignment="1"/>
    <xf numFmtId="0" fontId="9" fillId="0" borderId="0" xfId="0" applyFont="1" applyBorder="1" applyAlignment="1"/>
    <xf numFmtId="0" fontId="9" fillId="0" borderId="0" xfId="0" applyFont="1" applyBorder="1" applyAlignment="1">
      <alignment wrapText="1"/>
    </xf>
    <xf numFmtId="0" fontId="9" fillId="0" borderId="4" xfId="0" applyFont="1" applyBorder="1" applyAlignment="1"/>
    <xf numFmtId="0" fontId="0" fillId="0" borderId="4" xfId="0" applyFont="1" applyBorder="1" applyAlignment="1"/>
    <xf numFmtId="0" fontId="13" fillId="0" borderId="4" xfId="0" applyFont="1" applyBorder="1" applyAlignment="1"/>
    <xf numFmtId="0" fontId="9" fillId="0" borderId="4" xfId="0" applyFont="1" applyBorder="1" applyAlignment="1">
      <alignment horizontal="center" wrapText="1"/>
    </xf>
    <xf numFmtId="0" fontId="12" fillId="5" borderId="0" xfId="17" applyFont="1" applyFill="1" applyBorder="1" applyAlignment="1"/>
    <xf numFmtId="0" fontId="13" fillId="0" borderId="23" xfId="0" applyFont="1" applyFill="1" applyBorder="1" applyAlignment="1">
      <alignment horizontal="center" wrapText="1"/>
    </xf>
    <xf numFmtId="0" fontId="0" fillId="0" borderId="0" xfId="0" applyFont="1" applyAlignment="1"/>
    <xf numFmtId="0" fontId="10" fillId="0" borderId="0" xfId="0" applyFont="1" applyAlignment="1">
      <alignment horizontal="center"/>
    </xf>
    <xf numFmtId="0" fontId="117" fillId="0" borderId="0" xfId="0" applyFont="1" applyAlignment="1">
      <alignment wrapText="1"/>
    </xf>
    <xf numFmtId="0" fontId="0" fillId="0" borderId="4" xfId="0" applyBorder="1"/>
    <xf numFmtId="0" fontId="13" fillId="5" borderId="0" xfId="0" applyFont="1" applyFill="1" applyBorder="1" applyAlignment="1"/>
    <xf numFmtId="0" fontId="0" fillId="0" borderId="0" xfId="0" applyFont="1" applyAlignment="1">
      <alignment vertical="center"/>
    </xf>
    <xf numFmtId="0" fontId="120" fillId="0" borderId="4" xfId="0" applyFont="1" applyBorder="1" applyAlignment="1">
      <alignment horizontal="center" vertical="center"/>
    </xf>
    <xf numFmtId="0" fontId="120" fillId="0" borderId="4" xfId="0" applyFont="1" applyFill="1" applyBorder="1" applyAlignment="1">
      <alignment horizontal="center" vertical="center"/>
    </xf>
    <xf numFmtId="0" fontId="120" fillId="0" borderId="4" xfId="0" applyFont="1" applyBorder="1" applyAlignment="1">
      <alignment vertical="center" wrapText="1"/>
    </xf>
    <xf numFmtId="0" fontId="120" fillId="0" borderId="7" xfId="0" applyFont="1" applyBorder="1" applyAlignment="1">
      <alignment horizontal="center" vertical="center"/>
    </xf>
    <xf numFmtId="0" fontId="120" fillId="0" borderId="16" xfId="0" applyFont="1" applyFill="1" applyBorder="1" applyAlignment="1">
      <alignment horizontal="center" vertical="center"/>
    </xf>
    <xf numFmtId="0" fontId="120" fillId="0" borderId="4" xfId="0" applyFont="1" applyBorder="1" applyAlignment="1">
      <alignment horizontal="left" vertical="justify"/>
    </xf>
    <xf numFmtId="0" fontId="120" fillId="0" borderId="4" xfId="0" applyFont="1" applyFill="1" applyBorder="1" applyAlignment="1">
      <alignment horizontal="left" vertical="justify"/>
    </xf>
    <xf numFmtId="0" fontId="120" fillId="0" borderId="4" xfId="0" applyFont="1" applyFill="1" applyBorder="1" applyAlignment="1">
      <alignment horizontal="left" vertical="justify" wrapText="1"/>
    </xf>
    <xf numFmtId="0" fontId="120" fillId="0" borderId="4" xfId="0" applyFont="1" applyBorder="1" applyAlignment="1">
      <alignment horizontal="left" vertical="justify" wrapText="1"/>
    </xf>
    <xf numFmtId="0" fontId="0" fillId="0" borderId="0" xfId="0" applyFont="1" applyAlignment="1">
      <alignment horizontal="center" vertical="center"/>
    </xf>
    <xf numFmtId="0" fontId="117" fillId="0" borderId="0" xfId="0" applyFont="1" applyAlignment="1"/>
    <xf numFmtId="0" fontId="123" fillId="0" borderId="0" xfId="0" applyFont="1" applyBorder="1" applyAlignment="1"/>
    <xf numFmtId="0" fontId="123" fillId="0" borderId="4" xfId="0" applyFont="1" applyBorder="1" applyAlignment="1">
      <alignment horizontal="justify" wrapText="1"/>
    </xf>
    <xf numFmtId="0" fontId="117" fillId="0" borderId="0" xfId="0" applyFont="1" applyFill="1" applyAlignment="1"/>
    <xf numFmtId="0" fontId="123" fillId="0" borderId="4" xfId="0" applyFont="1" applyFill="1" applyBorder="1" applyAlignment="1">
      <alignment horizontal="center"/>
    </xf>
    <xf numFmtId="0" fontId="125" fillId="0" borderId="0" xfId="0" applyFont="1" applyAlignment="1"/>
    <xf numFmtId="0" fontId="120" fillId="0" borderId="4" xfId="0" applyFont="1" applyFill="1" applyBorder="1" applyAlignment="1">
      <alignment horizontal="justify" wrapText="1"/>
    </xf>
    <xf numFmtId="0" fontId="125" fillId="0" borderId="0" xfId="0" applyFont="1" applyFill="1" applyAlignment="1"/>
    <xf numFmtId="0" fontId="120" fillId="0" borderId="4" xfId="0" applyFont="1" applyFill="1" applyBorder="1" applyAlignment="1">
      <alignment horizontal="center"/>
    </xf>
    <xf numFmtId="0" fontId="125" fillId="0" borderId="0" xfId="0" applyFont="1" applyAlignment="1">
      <alignment horizontal="justify" wrapText="1"/>
    </xf>
    <xf numFmtId="0" fontId="125" fillId="0" borderId="0" xfId="0" applyFont="1" applyAlignment="1">
      <alignment vertical="center" wrapText="1"/>
    </xf>
    <xf numFmtId="0" fontId="119" fillId="2" borderId="4" xfId="0" applyFont="1" applyFill="1" applyBorder="1" applyAlignment="1">
      <alignment vertical="center" wrapText="1"/>
    </xf>
    <xf numFmtId="2" fontId="120" fillId="2" borderId="4" xfId="0" applyNumberFormat="1" applyFont="1" applyFill="1" applyBorder="1" applyAlignment="1">
      <alignment vertical="center" wrapText="1"/>
    </xf>
    <xf numFmtId="0" fontId="120" fillId="2" borderId="4" xfId="0" applyFont="1" applyFill="1" applyBorder="1" applyAlignment="1">
      <alignment vertical="center" wrapText="1"/>
    </xf>
    <xf numFmtId="0" fontId="120" fillId="0" borderId="10" xfId="0" applyFont="1" applyBorder="1" applyAlignment="1">
      <alignment vertical="center" wrapText="1"/>
    </xf>
    <xf numFmtId="0" fontId="120" fillId="0" borderId="4" xfId="0" applyFont="1" applyFill="1" applyBorder="1" applyAlignment="1">
      <alignment vertical="center" wrapText="1"/>
    </xf>
    <xf numFmtId="0" fontId="125" fillId="0" borderId="0" xfId="0" applyFont="1" applyFill="1" applyAlignment="1">
      <alignment vertical="center" wrapText="1"/>
    </xf>
    <xf numFmtId="0" fontId="119" fillId="12" borderId="4" xfId="0" applyFont="1" applyFill="1" applyBorder="1" applyAlignment="1">
      <alignment vertical="center" wrapText="1"/>
    </xf>
    <xf numFmtId="0" fontId="119" fillId="9" borderId="11" xfId="17" applyFont="1" applyFill="1" applyBorder="1" applyAlignment="1">
      <alignment horizontal="center" vertical="center" wrapText="1"/>
    </xf>
    <xf numFmtId="0" fontId="119" fillId="12" borderId="4" xfId="0" applyFont="1" applyFill="1" applyBorder="1" applyAlignment="1">
      <alignment horizontal="center" vertical="center" wrapText="1"/>
    </xf>
    <xf numFmtId="0" fontId="120" fillId="0" borderId="4" xfId="0" applyFont="1" applyBorder="1" applyAlignment="1">
      <alignment horizontal="center" vertical="center" wrapText="1"/>
    </xf>
    <xf numFmtId="0" fontId="119" fillId="2" borderId="4" xfId="0" applyFont="1" applyFill="1" applyBorder="1" applyAlignment="1">
      <alignment horizontal="center" vertical="center" wrapText="1"/>
    </xf>
    <xf numFmtId="0" fontId="120" fillId="0" borderId="4" xfId="0" applyFont="1" applyFill="1" applyBorder="1" applyAlignment="1">
      <alignment horizontal="center" vertical="center" wrapText="1"/>
    </xf>
    <xf numFmtId="43" fontId="119" fillId="12" borderId="4" xfId="72" applyFont="1" applyFill="1" applyBorder="1" applyAlignment="1">
      <alignment horizontal="center" vertical="center" wrapText="1"/>
    </xf>
    <xf numFmtId="0" fontId="127" fillId="5" borderId="0" xfId="0" applyFont="1" applyFill="1" applyBorder="1" applyAlignment="1">
      <alignment vertical="center" wrapText="1"/>
    </xf>
    <xf numFmtId="0" fontId="117" fillId="0" borderId="0" xfId="0" applyFont="1" applyBorder="1" applyAlignment="1"/>
    <xf numFmtId="0" fontId="119" fillId="2" borderId="4" xfId="0" applyFont="1" applyFill="1" applyBorder="1" applyAlignment="1"/>
    <xf numFmtId="43" fontId="120" fillId="0" borderId="4" xfId="0" applyNumberFormat="1" applyFont="1" applyBorder="1" applyAlignment="1">
      <alignment wrapText="1"/>
    </xf>
    <xf numFmtId="43" fontId="119" fillId="0" borderId="11" xfId="0" applyNumberFormat="1" applyFont="1" applyBorder="1" applyAlignment="1">
      <alignment wrapText="1"/>
    </xf>
    <xf numFmtId="0" fontId="125" fillId="0" borderId="0" xfId="0" applyFont="1" applyAlignment="1">
      <alignment vertical="center"/>
    </xf>
    <xf numFmtId="0" fontId="119" fillId="5" borderId="0" xfId="0" applyFont="1" applyFill="1" applyBorder="1" applyAlignment="1">
      <alignment vertical="center"/>
    </xf>
    <xf numFmtId="0" fontId="123" fillId="0" borderId="4" xfId="0" applyFont="1" applyFill="1" applyBorder="1" applyAlignment="1"/>
    <xf numFmtId="0" fontId="117" fillId="0" borderId="4" xfId="0" applyFont="1" applyBorder="1" applyAlignment="1"/>
    <xf numFmtId="0" fontId="122" fillId="0" borderId="4" xfId="0" applyFont="1" applyFill="1" applyBorder="1" applyAlignment="1"/>
    <xf numFmtId="0" fontId="129" fillId="0" borderId="0" xfId="0" applyFont="1" applyAlignment="1"/>
    <xf numFmtId="0" fontId="127" fillId="0" borderId="0" xfId="0" applyFont="1" applyBorder="1" applyAlignment="1">
      <alignment horizontal="center"/>
    </xf>
    <xf numFmtId="0" fontId="127" fillId="0" borderId="0" xfId="0" applyFont="1" applyBorder="1" applyAlignment="1">
      <alignment horizontal="justify" wrapText="1"/>
    </xf>
    <xf numFmtId="0" fontId="130" fillId="0" borderId="0" xfId="0" applyFont="1" applyAlignment="1"/>
    <xf numFmtId="0" fontId="127" fillId="2" borderId="4" xfId="0" applyFont="1" applyFill="1" applyBorder="1" applyAlignment="1"/>
    <xf numFmtId="0" fontId="130" fillId="0" borderId="4" xfId="0" applyFont="1" applyFill="1" applyBorder="1" applyAlignment="1">
      <alignment horizontal="right"/>
    </xf>
    <xf numFmtId="0" fontId="127" fillId="0" borderId="4" xfId="0" applyFont="1" applyFill="1" applyBorder="1" applyAlignment="1">
      <alignment horizontal="justify" wrapText="1"/>
    </xf>
    <xf numFmtId="0" fontId="130" fillId="0" borderId="4" xfId="0" applyFont="1" applyFill="1" applyBorder="1" applyAlignment="1">
      <alignment horizontal="justify" wrapText="1"/>
    </xf>
    <xf numFmtId="0" fontId="127" fillId="12" borderId="4" xfId="0" applyFont="1" applyFill="1" applyBorder="1" applyAlignment="1">
      <alignment horizontal="right"/>
    </xf>
    <xf numFmtId="0" fontId="127" fillId="0" borderId="4" xfId="0" applyFont="1" applyFill="1" applyBorder="1" applyAlignment="1"/>
    <xf numFmtId="43" fontId="127" fillId="12" borderId="4" xfId="72" applyFont="1" applyFill="1" applyBorder="1" applyAlignment="1">
      <alignment wrapText="1"/>
    </xf>
    <xf numFmtId="0" fontId="129" fillId="0" borderId="0" xfId="0" applyFont="1" applyAlignment="1">
      <alignment horizontal="justify" wrapText="1"/>
    </xf>
    <xf numFmtId="0" fontId="129" fillId="0" borderId="0" xfId="0" applyFont="1" applyAlignment="1">
      <alignment horizontal="center" vertical="center"/>
    </xf>
    <xf numFmtId="0" fontId="127" fillId="0" borderId="0" xfId="0" applyFont="1" applyBorder="1" applyAlignment="1">
      <alignment horizontal="center" vertical="center"/>
    </xf>
    <xf numFmtId="0" fontId="127" fillId="12" borderId="4" xfId="0" applyFont="1" applyFill="1" applyBorder="1" applyAlignment="1">
      <alignment horizontal="center" vertical="center"/>
    </xf>
    <xf numFmtId="0" fontId="127" fillId="0" borderId="4" xfId="0" applyFont="1" applyFill="1" applyBorder="1" applyAlignment="1">
      <alignment horizontal="center" vertical="center"/>
    </xf>
    <xf numFmtId="0" fontId="117" fillId="0" borderId="0" xfId="0" applyFont="1" applyFill="1" applyBorder="1" applyAlignment="1"/>
    <xf numFmtId="0" fontId="137" fillId="0" borderId="4" xfId="0" applyFont="1" applyFill="1" applyBorder="1" applyAlignment="1"/>
    <xf numFmtId="0" fontId="125" fillId="0" borderId="0" xfId="0" applyFont="1" applyFill="1" applyBorder="1" applyAlignment="1"/>
    <xf numFmtId="0" fontId="125" fillId="0" borderId="4" xfId="0" applyFont="1" applyFill="1" applyBorder="1" applyAlignment="1"/>
    <xf numFmtId="0" fontId="119" fillId="0" borderId="4" xfId="17" applyFont="1" applyFill="1" applyBorder="1" applyAlignment="1">
      <alignment horizontal="center"/>
    </xf>
    <xf numFmtId="0" fontId="123" fillId="12" borderId="28" xfId="0" applyFont="1" applyFill="1" applyBorder="1" applyAlignment="1"/>
    <xf numFmtId="0" fontId="117" fillId="0" borderId="0" xfId="0" applyFont="1" applyAlignment="1">
      <alignment horizontal="justify"/>
    </xf>
    <xf numFmtId="0" fontId="124" fillId="0" borderId="19" xfId="17" applyFont="1" applyFill="1" applyBorder="1" applyAlignment="1"/>
    <xf numFmtId="0" fontId="120" fillId="0" borderId="0" xfId="17" applyFont="1" applyBorder="1" applyAlignment="1"/>
    <xf numFmtId="0" fontId="119" fillId="0" borderId="4" xfId="0" applyFont="1" applyFill="1" applyBorder="1" applyAlignment="1">
      <alignment horizontal="center"/>
    </xf>
    <xf numFmtId="0" fontId="119" fillId="0" borderId="4" xfId="0" applyFont="1" applyFill="1" applyBorder="1" applyAlignment="1">
      <alignment horizontal="justify" wrapText="1"/>
    </xf>
    <xf numFmtId="0" fontId="125" fillId="0" borderId="4" xfId="0" applyFont="1" applyBorder="1" applyAlignment="1"/>
    <xf numFmtId="0" fontId="140" fillId="12" borderId="28" xfId="0" applyFont="1" applyFill="1" applyBorder="1" applyAlignment="1"/>
    <xf numFmtId="0" fontId="137" fillId="0" borderId="4" xfId="0" applyFont="1" applyFill="1" applyBorder="1" applyAlignment="1">
      <alignment wrapText="1"/>
    </xf>
    <xf numFmtId="0" fontId="124" fillId="0" borderId="19" xfId="17" applyFont="1" applyFill="1" applyBorder="1" applyAlignment="1">
      <alignment horizontal="center" vertical="center" wrapText="1"/>
    </xf>
    <xf numFmtId="0" fontId="119" fillId="0" borderId="4" xfId="0" applyFont="1" applyFill="1" applyBorder="1" applyAlignment="1">
      <alignment horizontal="left" wrapText="1"/>
    </xf>
    <xf numFmtId="0" fontId="120" fillId="0" borderId="4" xfId="0" applyFont="1" applyBorder="1" applyAlignment="1">
      <alignment horizontal="left" wrapText="1"/>
    </xf>
    <xf numFmtId="0" fontId="120" fillId="0" borderId="4" xfId="0" applyFont="1" applyFill="1" applyBorder="1" applyAlignment="1">
      <alignment horizontal="left" wrapText="1"/>
    </xf>
    <xf numFmtId="0" fontId="119" fillId="12" borderId="28" xfId="0" applyFont="1" applyFill="1" applyBorder="1" applyAlignment="1">
      <alignment horizontal="left" wrapText="1"/>
    </xf>
    <xf numFmtId="0" fontId="119" fillId="0" borderId="0" xfId="0" applyFont="1" applyBorder="1" applyAlignment="1">
      <alignment horizontal="left" wrapText="1"/>
    </xf>
    <xf numFmtId="0" fontId="124" fillId="0" borderId="0" xfId="17" applyFont="1" applyFill="1" applyBorder="1" applyAlignment="1"/>
    <xf numFmtId="0" fontId="119" fillId="0" borderId="0" xfId="17" applyFont="1" applyFill="1" applyBorder="1" applyAlignment="1">
      <alignment horizontal="center" vertical="center" wrapText="1"/>
    </xf>
    <xf numFmtId="0" fontId="119" fillId="0" borderId="0" xfId="17" applyFont="1" applyFill="1" applyBorder="1" applyAlignment="1"/>
    <xf numFmtId="0" fontId="119" fillId="0" borderId="4" xfId="0" applyFont="1" applyFill="1" applyBorder="1" applyAlignment="1">
      <alignment horizontal="center" vertical="center"/>
    </xf>
    <xf numFmtId="0" fontId="119" fillId="0" borderId="4" xfId="0" applyFont="1" applyBorder="1" applyAlignment="1">
      <alignment horizontal="center" vertical="center"/>
    </xf>
    <xf numFmtId="0" fontId="119" fillId="0" borderId="0" xfId="17" applyFont="1" applyBorder="1" applyAlignment="1">
      <alignment horizontal="center" vertical="center"/>
    </xf>
    <xf numFmtId="0" fontId="120" fillId="12" borderId="28" xfId="0" applyFont="1" applyFill="1" applyBorder="1" applyAlignment="1">
      <alignment horizontal="center" vertical="center"/>
    </xf>
    <xf numFmtId="0" fontId="120" fillId="0" borderId="0" xfId="0" applyFont="1" applyBorder="1" applyAlignment="1">
      <alignment horizontal="center" vertical="center"/>
    </xf>
    <xf numFmtId="0" fontId="125" fillId="0" borderId="0" xfId="0" applyFont="1" applyAlignment="1">
      <alignment horizontal="center" vertical="center"/>
    </xf>
    <xf numFmtId="0" fontId="123" fillId="0" borderId="0" xfId="13" applyFont="1" applyAlignment="1"/>
    <xf numFmtId="0" fontId="123" fillId="0" borderId="4" xfId="0" applyFont="1" applyFill="1" applyBorder="1" applyAlignment="1">
      <alignment wrapText="1"/>
    </xf>
    <xf numFmtId="175" fontId="122" fillId="0" borderId="4" xfId="17" applyNumberFormat="1" applyFont="1" applyFill="1" applyBorder="1" applyAlignment="1">
      <alignment horizontal="center"/>
    </xf>
    <xf numFmtId="0" fontId="120" fillId="0" borderId="4" xfId="0" applyFont="1" applyFill="1" applyBorder="1" applyAlignment="1">
      <alignment wrapText="1"/>
    </xf>
    <xf numFmtId="0" fontId="122" fillId="0" borderId="4" xfId="0" applyFont="1" applyFill="1" applyBorder="1" applyAlignment="1">
      <alignment wrapText="1"/>
    </xf>
    <xf numFmtId="0" fontId="114" fillId="0" borderId="4" xfId="0" applyFont="1" applyBorder="1" applyAlignment="1">
      <alignment horizontal="center"/>
    </xf>
    <xf numFmtId="0" fontId="117" fillId="0" borderId="4" xfId="0" applyFont="1" applyBorder="1" applyAlignment="1">
      <alignment horizontal="center" wrapText="1"/>
    </xf>
    <xf numFmtId="0" fontId="114" fillId="0" borderId="4" xfId="0" applyFont="1" applyBorder="1" applyAlignment="1">
      <alignment horizontal="center" vertical="center" wrapText="1"/>
    </xf>
    <xf numFmtId="0" fontId="117" fillId="0" borderId="0" xfId="0" applyFont="1"/>
    <xf numFmtId="0" fontId="117" fillId="0" borderId="4" xfId="0" applyFont="1" applyBorder="1"/>
    <xf numFmtId="0" fontId="117" fillId="0" borderId="140" xfId="0" applyFont="1" applyBorder="1" applyAlignment="1">
      <alignment horizontal="center" vertical="center" wrapText="1"/>
    </xf>
    <xf numFmtId="0" fontId="114" fillId="0" borderId="4" xfId="0" applyFont="1" applyBorder="1" applyAlignment="1">
      <alignment horizontal="center" vertical="center"/>
    </xf>
    <xf numFmtId="0" fontId="129" fillId="0" borderId="0" xfId="0" applyFont="1"/>
    <xf numFmtId="0" fontId="123" fillId="0" borderId="0" xfId="17" applyFont="1" applyFill="1" applyBorder="1" applyAlignment="1"/>
    <xf numFmtId="0" fontId="123" fillId="0" borderId="4" xfId="56" applyFont="1" applyFill="1" applyBorder="1" applyAlignment="1">
      <alignment wrapText="1"/>
    </xf>
    <xf numFmtId="0" fontId="123" fillId="0" borderId="4" xfId="56" applyFont="1" applyFill="1" applyBorder="1" applyAlignment="1">
      <alignment horizontal="center" wrapText="1"/>
    </xf>
    <xf numFmtId="2" fontId="123" fillId="0" borderId="4" xfId="0" applyNumberFormat="1" applyFont="1" applyFill="1" applyBorder="1" applyAlignment="1">
      <alignment horizontal="right"/>
    </xf>
    <xf numFmtId="0" fontId="123" fillId="0" borderId="4" xfId="56" applyFont="1" applyFill="1" applyBorder="1" applyAlignment="1">
      <alignment horizontal="left" wrapText="1"/>
    </xf>
    <xf numFmtId="0" fontId="123" fillId="0" borderId="4" xfId="56" applyFont="1" applyFill="1" applyBorder="1" applyAlignment="1">
      <alignment horizontal="center"/>
    </xf>
    <xf numFmtId="0" fontId="123" fillId="0" borderId="0" xfId="56" applyFont="1" applyAlignment="1">
      <alignment wrapText="1"/>
    </xf>
    <xf numFmtId="0" fontId="114" fillId="0" borderId="0" xfId="0" applyFont="1" applyAlignment="1"/>
    <xf numFmtId="0" fontId="122" fillId="0" borderId="4" xfId="0" applyFont="1" applyFill="1" applyBorder="1" applyAlignment="1">
      <alignment horizontal="left"/>
    </xf>
    <xf numFmtId="0" fontId="123" fillId="0" borderId="4" xfId="0" applyFont="1" applyFill="1" applyBorder="1" applyAlignment="1">
      <alignment horizontal="left"/>
    </xf>
    <xf numFmtId="0" fontId="117" fillId="0" borderId="0" xfId="0" applyFont="1" applyAlignment="1">
      <alignment horizontal="left"/>
    </xf>
    <xf numFmtId="0" fontId="122" fillId="0" borderId="0" xfId="56" applyFont="1" applyAlignment="1"/>
    <xf numFmtId="0" fontId="117" fillId="0" borderId="4" xfId="0" applyFont="1" applyBorder="1" applyAlignment="1">
      <alignment horizontal="justify"/>
    </xf>
    <xf numFmtId="0" fontId="123" fillId="0" borderId="0" xfId="0" applyFont="1" applyAlignment="1">
      <alignment horizontal="justify"/>
    </xf>
    <xf numFmtId="0" fontId="117" fillId="13" borderId="0" xfId="0" applyFont="1" applyFill="1" applyBorder="1" applyAlignment="1">
      <alignment horizontal="justify"/>
    </xf>
    <xf numFmtId="0" fontId="117" fillId="13" borderId="0" xfId="0" applyFont="1" applyFill="1" applyBorder="1" applyAlignment="1"/>
    <xf numFmtId="0" fontId="117" fillId="13" borderId="4" xfId="0" applyFont="1" applyFill="1" applyBorder="1" applyAlignment="1">
      <alignment horizontal="justify"/>
    </xf>
    <xf numFmtId="0" fontId="117" fillId="13" borderId="4" xfId="0" applyFont="1" applyFill="1" applyBorder="1" applyAlignment="1">
      <alignment horizontal="justify" wrapText="1"/>
    </xf>
    <xf numFmtId="0" fontId="121" fillId="5" borderId="0" xfId="17" applyFont="1" applyFill="1" applyBorder="1" applyAlignment="1"/>
    <xf numFmtId="0" fontId="132" fillId="0" borderId="0" xfId="0" applyFont="1" applyBorder="1" applyAlignment="1"/>
    <xf numFmtId="0" fontId="123" fillId="0" borderId="4" xfId="0" applyFont="1" applyBorder="1" applyAlignment="1">
      <alignment horizontal="justify" vertical="center" wrapText="1"/>
    </xf>
    <xf numFmtId="0" fontId="123" fillId="0" borderId="4" xfId="0" applyFont="1" applyFill="1" applyBorder="1" applyAlignment="1">
      <alignment horizontal="justify" vertical="center" wrapText="1"/>
    </xf>
    <xf numFmtId="0" fontId="123" fillId="12" borderId="12" xfId="0" applyFont="1" applyFill="1" applyBorder="1" applyAlignment="1">
      <alignment horizontal="justify" vertical="center" wrapText="1"/>
    </xf>
    <xf numFmtId="0" fontId="139" fillId="12" borderId="12" xfId="0" applyFont="1" applyFill="1" applyBorder="1" applyAlignment="1">
      <alignment horizontal="justify" vertical="center" wrapText="1"/>
    </xf>
    <xf numFmtId="0" fontId="117" fillId="0" borderId="4" xfId="0" applyFont="1" applyBorder="1" applyAlignment="1">
      <alignment horizontal="justify" vertical="center" wrapText="1"/>
    </xf>
    <xf numFmtId="0" fontId="122" fillId="12" borderId="12" xfId="0" applyFont="1" applyFill="1" applyBorder="1" applyAlignment="1">
      <alignment horizontal="justify" vertical="center" wrapText="1"/>
    </xf>
    <xf numFmtId="0" fontId="122" fillId="12" borderId="28" xfId="0" applyFont="1" applyFill="1" applyBorder="1" applyAlignment="1">
      <alignment horizontal="justify" vertical="center" wrapText="1"/>
    </xf>
    <xf numFmtId="0" fontId="123" fillId="0" borderId="4" xfId="0" quotePrefix="1" applyFont="1" applyBorder="1" applyAlignment="1">
      <alignment horizontal="justify" vertical="center" wrapText="1"/>
    </xf>
    <xf numFmtId="0" fontId="127" fillId="0" borderId="0" xfId="0" applyFont="1" applyFill="1" applyBorder="1" applyAlignment="1">
      <alignment vertical="center"/>
    </xf>
    <xf numFmtId="0" fontId="129" fillId="0" borderId="0" xfId="0" applyFont="1" applyBorder="1" applyAlignment="1">
      <alignment vertical="center"/>
    </xf>
    <xf numFmtId="0" fontId="122" fillId="0" borderId="11" xfId="0" applyFont="1" applyFill="1" applyBorder="1" applyAlignment="1">
      <alignment vertical="center" wrapText="1"/>
    </xf>
    <xf numFmtId="0" fontId="122" fillId="0" borderId="10" xfId="0" applyFont="1" applyFill="1" applyBorder="1" applyAlignment="1">
      <alignment horizontal="center"/>
    </xf>
    <xf numFmtId="0" fontId="123" fillId="0" borderId="22" xfId="13" applyFont="1" applyBorder="1" applyAlignment="1"/>
    <xf numFmtId="0" fontId="123" fillId="0" borderId="0" xfId="13" applyFont="1" applyBorder="1" applyAlignment="1"/>
    <xf numFmtId="0" fontId="123" fillId="0" borderId="4" xfId="0" applyFont="1" applyBorder="1" applyAlignment="1">
      <alignment horizontal="center" vertical="center"/>
    </xf>
    <xf numFmtId="0" fontId="117" fillId="13" borderId="4" xfId="0" applyFont="1" applyFill="1" applyBorder="1" applyAlignment="1"/>
    <xf numFmtId="0" fontId="117" fillId="13" borderId="4" xfId="0" applyFont="1" applyFill="1" applyBorder="1" applyAlignment="1">
      <alignment wrapText="1"/>
    </xf>
    <xf numFmtId="0" fontId="122" fillId="0" borderId="0" xfId="13" applyFont="1" applyBorder="1" applyAlignment="1">
      <alignment horizontal="center"/>
    </xf>
    <xf numFmtId="0" fontId="122" fillId="0" borderId="4" xfId="13" applyFont="1" applyBorder="1" applyAlignment="1">
      <alignment horizontal="center"/>
    </xf>
    <xf numFmtId="0" fontId="123" fillId="0" borderId="0" xfId="13" applyFont="1" applyAlignment="1">
      <alignment horizontal="center"/>
    </xf>
    <xf numFmtId="0" fontId="123" fillId="0" borderId="4" xfId="13" applyFont="1" applyBorder="1" applyAlignment="1">
      <alignment horizontal="center"/>
    </xf>
    <xf numFmtId="0" fontId="123" fillId="12" borderId="28" xfId="13" applyFont="1" applyFill="1" applyBorder="1" applyAlignment="1">
      <alignment horizontal="center"/>
    </xf>
    <xf numFmtId="0" fontId="123" fillId="12" borderId="28" xfId="13" applyFont="1" applyFill="1" applyBorder="1" applyAlignment="1"/>
    <xf numFmtId="0" fontId="139" fillId="12" borderId="28" xfId="13" applyFont="1" applyFill="1" applyBorder="1" applyAlignment="1"/>
    <xf numFmtId="0" fontId="117" fillId="13" borderId="10" xfId="0" applyFont="1" applyFill="1" applyBorder="1" applyAlignment="1"/>
    <xf numFmtId="0" fontId="122" fillId="0" borderId="4" xfId="13" applyFont="1" applyBorder="1" applyAlignment="1">
      <alignment horizontal="center" vertical="center"/>
    </xf>
    <xf numFmtId="0" fontId="122" fillId="0" borderId="23" xfId="13" applyFont="1" applyBorder="1" applyAlignment="1">
      <alignment horizontal="center" vertical="center" wrapText="1"/>
    </xf>
    <xf numFmtId="0" fontId="122" fillId="0" borderId="4" xfId="13" applyFont="1" applyBorder="1" applyAlignment="1">
      <alignment horizontal="center" vertical="center" wrapText="1"/>
    </xf>
    <xf numFmtId="0" fontId="122" fillId="0" borderId="21" xfId="13" applyFont="1" applyBorder="1" applyAlignment="1">
      <alignment horizontal="center" vertical="center" wrapText="1"/>
    </xf>
    <xf numFmtId="0" fontId="117" fillId="0" borderId="4" xfId="0" applyFont="1" applyBorder="1" applyAlignment="1">
      <alignment horizontal="center" vertical="top"/>
    </xf>
    <xf numFmtId="0" fontId="117" fillId="0" borderId="4" xfId="0" applyFont="1" applyBorder="1" applyAlignment="1">
      <alignment horizontal="center" vertical="top" wrapText="1"/>
    </xf>
    <xf numFmtId="0" fontId="117" fillId="0" borderId="4" xfId="0" applyFont="1" applyBorder="1" applyAlignment="1">
      <alignment horizontal="center"/>
    </xf>
    <xf numFmtId="0" fontId="117" fillId="0" borderId="4" xfId="0" applyFont="1" applyBorder="1" applyAlignment="1">
      <alignment horizontal="left" vertical="center"/>
    </xf>
    <xf numFmtId="0" fontId="123" fillId="0" borderId="0" xfId="0" applyNumberFormat="1" applyFont="1" applyFill="1" applyBorder="1" applyAlignment="1">
      <alignment horizontal="center" wrapText="1"/>
    </xf>
    <xf numFmtId="0" fontId="123" fillId="0" borderId="0" xfId="0" applyNumberFormat="1" applyFont="1" applyFill="1" applyBorder="1" applyAlignment="1"/>
    <xf numFmtId="0" fontId="123" fillId="0" borderId="0" xfId="0" applyNumberFormat="1" applyFont="1" applyFill="1" applyBorder="1" applyAlignment="1">
      <alignment wrapText="1"/>
    </xf>
    <xf numFmtId="0" fontId="117" fillId="0" borderId="0" xfId="0" applyFont="1" applyFill="1" applyBorder="1" applyAlignment="1">
      <alignment horizontal="center"/>
    </xf>
    <xf numFmtId="0" fontId="117" fillId="0" borderId="4" xfId="0" applyFont="1" applyBorder="1" applyAlignment="1">
      <alignment vertical="center" wrapText="1"/>
    </xf>
    <xf numFmtId="0" fontId="122" fillId="0" borderId="20" xfId="0" applyFont="1" applyFill="1" applyBorder="1" applyAlignment="1"/>
    <xf numFmtId="175" fontId="139" fillId="12" borderId="28" xfId="0" applyNumberFormat="1" applyFont="1" applyFill="1" applyBorder="1" applyAlignment="1">
      <alignment horizontal="center"/>
    </xf>
    <xf numFmtId="0" fontId="114" fillId="0" borderId="20" xfId="0" applyFont="1" applyBorder="1" applyAlignment="1"/>
    <xf numFmtId="0" fontId="114" fillId="0" borderId="4" xfId="0" applyFont="1" applyBorder="1" applyAlignment="1">
      <alignment horizontal="justify"/>
    </xf>
    <xf numFmtId="0" fontId="117" fillId="0" borderId="0" xfId="0" applyFont="1" applyBorder="1" applyAlignment="1">
      <alignment horizontal="center"/>
    </xf>
    <xf numFmtId="0" fontId="114" fillId="0" borderId="10" xfId="0" applyFont="1" applyBorder="1" applyAlignment="1">
      <alignment horizontal="center" vertical="center"/>
    </xf>
    <xf numFmtId="0" fontId="117" fillId="0" borderId="0" xfId="0" applyFont="1" applyAlignment="1">
      <alignment horizontal="center" vertical="center"/>
    </xf>
    <xf numFmtId="0" fontId="121" fillId="0" borderId="0" xfId="0" applyFont="1" applyFill="1" applyBorder="1" applyAlignment="1"/>
    <xf numFmtId="0" fontId="121" fillId="0" borderId="0" xfId="17" applyFont="1" applyFill="1" applyBorder="1" applyAlignment="1"/>
    <xf numFmtId="0" fontId="117" fillId="13" borderId="11" xfId="0" applyFont="1" applyFill="1" applyBorder="1" applyAlignment="1"/>
    <xf numFmtId="0" fontId="117" fillId="13" borderId="11" xfId="0" applyFont="1" applyFill="1" applyBorder="1" applyAlignment="1">
      <alignment wrapText="1"/>
    </xf>
    <xf numFmtId="0" fontId="117" fillId="13" borderId="19" xfId="0" applyFont="1" applyFill="1" applyBorder="1" applyAlignment="1"/>
    <xf numFmtId="0" fontId="117" fillId="13" borderId="24" xfId="0" applyFont="1" applyFill="1" applyBorder="1" applyAlignment="1"/>
    <xf numFmtId="0" fontId="117" fillId="13" borderId="25" xfId="0" applyFont="1" applyFill="1" applyBorder="1" applyAlignment="1"/>
    <xf numFmtId="0" fontId="117" fillId="0" borderId="0" xfId="0" applyFont="1" applyAlignment="1">
      <alignment vertical="center"/>
    </xf>
    <xf numFmtId="0" fontId="122" fillId="5" borderId="0" xfId="17" applyFont="1" applyFill="1" applyBorder="1" applyAlignment="1"/>
    <xf numFmtId="0" fontId="132" fillId="0" borderId="0" xfId="0" applyFont="1" applyFill="1" applyBorder="1" applyAlignment="1"/>
    <xf numFmtId="0" fontId="132" fillId="0" borderId="4" xfId="0" applyFont="1" applyFill="1" applyBorder="1" applyAlignment="1"/>
    <xf numFmtId="0" fontId="117" fillId="0" borderId="4" xfId="0" applyFont="1" applyBorder="1" applyAlignment="1">
      <alignment vertical="top"/>
    </xf>
    <xf numFmtId="0" fontId="117" fillId="0" borderId="0" xfId="0" applyFont="1" applyAlignment="1">
      <alignment horizontal="right"/>
    </xf>
    <xf numFmtId="175" fontId="123" fillId="0" borderId="4" xfId="0" applyNumberFormat="1" applyFont="1" applyFill="1" applyBorder="1" applyAlignment="1"/>
    <xf numFmtId="0" fontId="122" fillId="0" borderId="4" xfId="17" applyFont="1" applyFill="1" applyBorder="1" applyAlignment="1">
      <alignment horizontal="center" vertical="center"/>
    </xf>
    <xf numFmtId="0" fontId="117" fillId="0" borderId="4" xfId="0" applyFont="1" applyFill="1" applyBorder="1" applyAlignment="1"/>
    <xf numFmtId="43" fontId="117" fillId="0" borderId="4" xfId="72" applyFont="1" applyFill="1" applyBorder="1" applyAlignment="1"/>
    <xf numFmtId="43" fontId="117" fillId="0" borderId="4" xfId="0" applyNumberFormat="1" applyFont="1" applyFill="1" applyBorder="1" applyAlignment="1"/>
    <xf numFmtId="43" fontId="132" fillId="0" borderId="4" xfId="0" applyNumberFormat="1" applyFont="1" applyFill="1" applyBorder="1" applyAlignment="1">
      <alignment horizontal="left"/>
    </xf>
    <xf numFmtId="43" fontId="117" fillId="0" borderId="4" xfId="72" applyFont="1" applyBorder="1" applyAlignment="1"/>
    <xf numFmtId="2" fontId="123" fillId="0" borderId="4" xfId="0" applyNumberFormat="1" applyFont="1" applyFill="1" applyBorder="1" applyAlignment="1">
      <alignment horizontal="center"/>
    </xf>
    <xf numFmtId="2" fontId="122" fillId="9" borderId="4" xfId="0" applyNumberFormat="1" applyFont="1" applyFill="1" applyBorder="1" applyAlignment="1">
      <alignment horizontal="justify"/>
    </xf>
    <xf numFmtId="2" fontId="123" fillId="9" borderId="4" xfId="0" applyNumberFormat="1" applyFont="1" applyFill="1" applyBorder="1" applyAlignment="1">
      <alignment horizontal="justify"/>
    </xf>
    <xf numFmtId="0" fontId="120" fillId="0" borderId="4" xfId="0" applyFont="1" applyFill="1" applyBorder="1" applyAlignment="1"/>
    <xf numFmtId="43" fontId="120" fillId="0" borderId="4" xfId="72" applyFont="1" applyFill="1" applyBorder="1" applyAlignment="1"/>
    <xf numFmtId="0" fontId="132" fillId="0" borderId="4" xfId="0" applyFont="1" applyFill="1" applyBorder="1" applyAlignment="1">
      <alignment wrapText="1"/>
    </xf>
    <xf numFmtId="0" fontId="123" fillId="0" borderId="0" xfId="0" applyFont="1" applyFill="1" applyBorder="1" applyAlignment="1"/>
    <xf numFmtId="0" fontId="123" fillId="0" borderId="0" xfId="0" applyFont="1" applyFill="1" applyAlignment="1"/>
    <xf numFmtId="0" fontId="123" fillId="0" borderId="0" xfId="0" applyFont="1" applyFill="1" applyAlignment="1">
      <alignment horizontal="center"/>
    </xf>
    <xf numFmtId="0" fontId="120" fillId="0" borderId="0" xfId="0" applyFont="1" applyFill="1" applyAlignment="1"/>
    <xf numFmtId="2" fontId="119" fillId="0" borderId="4" xfId="17" applyNumberFormat="1" applyFont="1" applyFill="1" applyBorder="1" applyAlignment="1">
      <alignment horizontal="center"/>
    </xf>
    <xf numFmtId="2" fontId="120" fillId="0" borderId="4" xfId="0" applyNumberFormat="1" applyFont="1" applyBorder="1" applyAlignment="1">
      <alignment vertical="center" wrapText="1"/>
    </xf>
    <xf numFmtId="0" fontId="0" fillId="65" borderId="161" xfId="0" applyFill="1" applyBorder="1" applyAlignment="1">
      <alignment horizontal="center" vertical="top" wrapText="1"/>
    </xf>
    <xf numFmtId="1" fontId="146" fillId="0" borderId="161" xfId="0" applyNumberFormat="1" applyFont="1" applyFill="1" applyBorder="1" applyAlignment="1">
      <alignment horizontal="center" vertical="top" shrinkToFit="1"/>
    </xf>
    <xf numFmtId="0" fontId="29" fillId="0" borderId="161" xfId="0" applyFont="1" applyFill="1" applyBorder="1" applyAlignment="1">
      <alignment horizontal="left" vertical="top" wrapText="1" indent="1"/>
    </xf>
    <xf numFmtId="2" fontId="146" fillId="0" borderId="161" xfId="0" applyNumberFormat="1" applyFont="1" applyFill="1" applyBorder="1" applyAlignment="1">
      <alignment horizontal="center" vertical="top" shrinkToFit="1"/>
    </xf>
    <xf numFmtId="0" fontId="0" fillId="0" borderId="161" xfId="0" applyFill="1" applyBorder="1" applyAlignment="1">
      <alignment horizontal="center" vertical="top" wrapText="1"/>
    </xf>
    <xf numFmtId="2" fontId="146" fillId="0" borderId="161" xfId="0" applyNumberFormat="1" applyFont="1" applyFill="1" applyBorder="1" applyAlignment="1">
      <alignment horizontal="center" vertical="center" shrinkToFit="1"/>
    </xf>
    <xf numFmtId="0" fontId="29" fillId="0" borderId="161" xfId="0" applyFont="1" applyFill="1" applyBorder="1" applyAlignment="1">
      <alignment horizontal="left" vertical="top" wrapText="1" indent="2"/>
    </xf>
    <xf numFmtId="0" fontId="145" fillId="0" borderId="161" xfId="0" applyFont="1" applyFill="1" applyBorder="1" applyAlignment="1">
      <alignment horizontal="center" vertical="top" wrapText="1"/>
    </xf>
    <xf numFmtId="2" fontId="147" fillId="0" borderId="161" xfId="0" applyNumberFormat="1" applyFont="1" applyFill="1" applyBorder="1" applyAlignment="1">
      <alignment horizontal="center" vertical="top" shrinkToFit="1"/>
    </xf>
    <xf numFmtId="172" fontId="147" fillId="0" borderId="161" xfId="0" applyNumberFormat="1" applyFont="1" applyFill="1" applyBorder="1" applyAlignment="1">
      <alignment horizontal="center" vertical="top" shrinkToFit="1"/>
    </xf>
    <xf numFmtId="0" fontId="145" fillId="0" borderId="161" xfId="0" applyFont="1" applyFill="1" applyBorder="1" applyAlignment="1">
      <alignment horizontal="left" vertical="top" wrapText="1" indent="3"/>
    </xf>
    <xf numFmtId="2" fontId="147" fillId="0" borderId="161" xfId="0" applyNumberFormat="1" applyFont="1" applyFill="1" applyBorder="1" applyAlignment="1">
      <alignment horizontal="center" vertical="center" shrinkToFit="1"/>
    </xf>
    <xf numFmtId="1" fontId="147" fillId="0" borderId="161" xfId="0" applyNumberFormat="1" applyFont="1" applyFill="1" applyBorder="1" applyAlignment="1">
      <alignment horizontal="center" vertical="center" shrinkToFit="1"/>
    </xf>
    <xf numFmtId="0" fontId="0" fillId="0" borderId="161" xfId="0" applyFill="1" applyBorder="1" applyAlignment="1">
      <alignment horizontal="center" vertical="center" wrapText="1"/>
    </xf>
    <xf numFmtId="10" fontId="147" fillId="0" borderId="161" xfId="0" applyNumberFormat="1" applyFont="1" applyFill="1" applyBorder="1" applyAlignment="1">
      <alignment horizontal="center" vertical="top" shrinkToFit="1"/>
    </xf>
    <xf numFmtId="169" fontId="147" fillId="0" borderId="161" xfId="0" applyNumberFormat="1" applyFont="1" applyFill="1" applyBorder="1" applyAlignment="1">
      <alignment horizontal="center" vertical="top" shrinkToFit="1"/>
    </xf>
    <xf numFmtId="2" fontId="125" fillId="0" borderId="0" xfId="0" applyNumberFormat="1" applyFont="1" applyAlignment="1">
      <alignment vertical="center" wrapText="1"/>
    </xf>
    <xf numFmtId="43" fontId="125" fillId="0" borderId="0" xfId="72" applyFont="1" applyAlignment="1">
      <alignment vertical="center" wrapText="1"/>
    </xf>
    <xf numFmtId="43" fontId="125" fillId="0" borderId="4" xfId="72" applyFont="1" applyFill="1" applyBorder="1" applyAlignment="1"/>
    <xf numFmtId="0" fontId="10" fillId="0" borderId="0" xfId="0" applyFont="1"/>
    <xf numFmtId="0" fontId="10" fillId="0" borderId="4" xfId="0" applyFont="1" applyBorder="1"/>
    <xf numFmtId="0" fontId="0" fillId="0" borderId="4" xfId="0" applyFont="1" applyBorder="1" applyAlignment="1">
      <alignment horizontal="center" vertical="center"/>
    </xf>
    <xf numFmtId="0" fontId="0" fillId="0" borderId="0" xfId="0" applyAlignment="1">
      <alignment vertical="center"/>
    </xf>
    <xf numFmtId="0" fontId="125" fillId="0" borderId="0" xfId="0" applyFont="1" applyAlignment="1">
      <alignment horizontal="center" vertical="center" wrapText="1"/>
    </xf>
    <xf numFmtId="0" fontId="119" fillId="0" borderId="4" xfId="17" applyFont="1" applyFill="1" applyBorder="1" applyAlignment="1">
      <alignment horizontal="center" vertical="center"/>
    </xf>
    <xf numFmtId="0" fontId="122" fillId="0" borderId="11" xfId="0" applyFont="1" applyFill="1" applyBorder="1" applyAlignment="1">
      <alignment horizontal="center" vertical="center" wrapText="1"/>
    </xf>
    <xf numFmtId="0" fontId="122" fillId="9" borderId="4" xfId="17" applyFont="1" applyFill="1" applyBorder="1" applyAlignment="1">
      <alignment horizontal="center" vertical="center" wrapText="1"/>
    </xf>
    <xf numFmtId="0" fontId="114" fillId="0" borderId="4" xfId="0" applyFont="1" applyBorder="1" applyAlignment="1">
      <alignment horizontal="center" vertical="center" wrapText="1"/>
    </xf>
    <xf numFmtId="0" fontId="117" fillId="13" borderId="10" xfId="0" applyFont="1" applyFill="1" applyBorder="1" applyAlignment="1"/>
    <xf numFmtId="0" fontId="117" fillId="0" borderId="0" xfId="0" applyFont="1" applyAlignment="1">
      <alignment horizontal="center"/>
    </xf>
    <xf numFmtId="0" fontId="122" fillId="0" borderId="4" xfId="0" applyFont="1" applyFill="1" applyBorder="1" applyAlignment="1">
      <alignment horizontal="center" vertical="center" wrapText="1"/>
    </xf>
    <xf numFmtId="0" fontId="117" fillId="0" borderId="0" xfId="0" applyFont="1" applyAlignment="1"/>
    <xf numFmtId="0" fontId="114" fillId="0" borderId="4" xfId="0" applyFont="1" applyBorder="1" applyAlignment="1">
      <alignment horizontal="center" wrapText="1"/>
    </xf>
    <xf numFmtId="0" fontId="117" fillId="0" borderId="4" xfId="0" applyFont="1" applyBorder="1" applyAlignment="1">
      <alignment horizontal="center" vertical="center"/>
    </xf>
    <xf numFmtId="0" fontId="117" fillId="0" borderId="4" xfId="0" applyFont="1" applyBorder="1" applyAlignment="1">
      <alignment horizontal="center" vertical="center" wrapText="1"/>
    </xf>
    <xf numFmtId="0" fontId="117" fillId="13" borderId="20" xfId="0" applyFont="1" applyFill="1" applyBorder="1" applyAlignment="1"/>
    <xf numFmtId="0" fontId="117" fillId="0" borderId="4" xfId="0" applyFont="1" applyBorder="1" applyAlignment="1">
      <alignment wrapText="1"/>
    </xf>
    <xf numFmtId="0" fontId="125" fillId="0" borderId="0" xfId="0" applyFont="1" applyBorder="1" applyAlignment="1"/>
    <xf numFmtId="0" fontId="153" fillId="9" borderId="4" xfId="0" applyFont="1" applyFill="1" applyBorder="1"/>
    <xf numFmtId="0" fontId="120" fillId="0" borderId="0" xfId="564" applyFont="1" applyFill="1" applyAlignment="1"/>
    <xf numFmtId="2" fontId="120" fillId="0" borderId="4" xfId="2679" applyNumberFormat="1" applyFont="1" applyFill="1" applyBorder="1" applyAlignment="1">
      <alignment horizontal="right"/>
    </xf>
    <xf numFmtId="2" fontId="120" fillId="0" borderId="4" xfId="2679" applyNumberFormat="1" applyFont="1" applyFill="1" applyBorder="1" applyAlignment="1"/>
    <xf numFmtId="2" fontId="120" fillId="0" borderId="4" xfId="2679" applyNumberFormat="1" applyFont="1" applyFill="1" applyBorder="1" applyAlignment="1">
      <alignment horizontal="center"/>
    </xf>
    <xf numFmtId="0" fontId="120" fillId="0" borderId="4" xfId="564" applyFont="1" applyFill="1" applyBorder="1" applyAlignment="1"/>
    <xf numFmtId="0" fontId="119" fillId="0" borderId="12" xfId="564" applyFont="1" applyFill="1" applyBorder="1" applyAlignment="1"/>
    <xf numFmtId="2" fontId="119" fillId="0" borderId="12" xfId="564" applyNumberFormat="1" applyFont="1" applyFill="1" applyBorder="1" applyAlignment="1">
      <alignment horizontal="center"/>
    </xf>
    <xf numFmtId="2" fontId="120" fillId="0" borderId="11" xfId="2679" applyNumberFormat="1" applyFont="1" applyFill="1" applyBorder="1" applyAlignment="1">
      <alignment horizontal="center"/>
    </xf>
    <xf numFmtId="0" fontId="120" fillId="0" borderId="4" xfId="564" applyFont="1" applyFill="1" applyBorder="1" applyAlignment="1">
      <alignment horizontal="left" wrapText="1"/>
    </xf>
    <xf numFmtId="168" fontId="119" fillId="0" borderId="4" xfId="2679" applyNumberFormat="1" applyFont="1" applyFill="1" applyBorder="1" applyAlignment="1">
      <alignment horizontal="center"/>
    </xf>
    <xf numFmtId="2" fontId="119" fillId="0" borderId="12" xfId="2679" applyNumberFormat="1" applyFont="1" applyFill="1" applyBorder="1" applyAlignment="1">
      <alignment horizontal="center"/>
    </xf>
    <xf numFmtId="0" fontId="119" fillId="0" borderId="28" xfId="564" applyFont="1" applyFill="1" applyBorder="1" applyAlignment="1"/>
    <xf numFmtId="2" fontId="119" fillId="0" borderId="28" xfId="564" applyNumberFormat="1" applyFont="1" applyFill="1" applyBorder="1" applyAlignment="1">
      <alignment horizontal="center"/>
    </xf>
    <xf numFmtId="0" fontId="119" fillId="0" borderId="0" xfId="564" applyFont="1" applyFill="1" applyAlignment="1"/>
    <xf numFmtId="0" fontId="119" fillId="0" borderId="4" xfId="564" applyFont="1" applyFill="1" applyBorder="1" applyAlignment="1">
      <alignment horizontal="center"/>
    </xf>
    <xf numFmtId="0" fontId="119" fillId="0" borderId="4" xfId="564" applyFont="1" applyFill="1" applyBorder="1" applyAlignment="1"/>
    <xf numFmtId="0" fontId="119" fillId="0" borderId="29" xfId="564" applyFont="1" applyFill="1" applyBorder="1" applyAlignment="1"/>
    <xf numFmtId="0" fontId="119" fillId="0" borderId="11" xfId="564" applyFont="1" applyFill="1" applyBorder="1" applyAlignment="1"/>
    <xf numFmtId="2" fontId="133" fillId="0" borderId="4" xfId="0" applyNumberFormat="1" applyFont="1" applyFill="1" applyBorder="1" applyAlignment="1">
      <alignment horizontal="center"/>
    </xf>
    <xf numFmtId="2" fontId="133" fillId="0" borderId="4" xfId="72" applyNumberFormat="1" applyFont="1" applyFill="1" applyBorder="1" applyAlignment="1">
      <alignment horizontal="center"/>
    </xf>
    <xf numFmtId="0" fontId="123" fillId="0" borderId="4" xfId="564" applyFont="1" applyFill="1" applyBorder="1" applyAlignment="1">
      <alignment horizontal="center"/>
    </xf>
    <xf numFmtId="0" fontId="114" fillId="0" borderId="4" xfId="0" applyFont="1" applyBorder="1"/>
    <xf numFmtId="0" fontId="9" fillId="0" borderId="0" xfId="564" applyFont="1" applyFill="1" applyBorder="1" applyAlignment="1">
      <alignment horizontal="right"/>
    </xf>
    <xf numFmtId="0" fontId="123" fillId="0" borderId="134" xfId="0" applyFont="1" applyFill="1" applyBorder="1" applyAlignment="1"/>
    <xf numFmtId="0" fontId="122" fillId="0" borderId="4" xfId="564" applyFont="1" applyFill="1" applyBorder="1" applyAlignment="1">
      <alignment horizontal="center" vertical="center" wrapText="1"/>
    </xf>
    <xf numFmtId="0" fontId="123" fillId="12" borderId="133" xfId="564" applyFont="1" applyFill="1" applyBorder="1" applyAlignment="1">
      <alignment horizontal="center" vertical="center" wrapText="1"/>
    </xf>
    <xf numFmtId="0" fontId="122" fillId="12" borderId="133" xfId="564" applyFont="1" applyFill="1" applyBorder="1" applyAlignment="1">
      <alignment horizontal="justify" wrapText="1"/>
    </xf>
    <xf numFmtId="2" fontId="122" fillId="12" borderId="133" xfId="564" applyNumberFormat="1" applyFont="1" applyFill="1" applyBorder="1" applyAlignment="1">
      <alignment horizontal="center"/>
    </xf>
    <xf numFmtId="2" fontId="122" fillId="9" borderId="133" xfId="564" applyNumberFormat="1" applyFont="1" applyFill="1" applyBorder="1" applyAlignment="1">
      <alignment horizontal="center"/>
    </xf>
    <xf numFmtId="0" fontId="123" fillId="0" borderId="0" xfId="564" applyFont="1" applyBorder="1" applyAlignment="1">
      <alignment horizontal="left"/>
    </xf>
    <xf numFmtId="0" fontId="123" fillId="0" borderId="0" xfId="564" applyFont="1" applyBorder="1" applyAlignment="1"/>
    <xf numFmtId="0" fontId="123" fillId="0" borderId="0" xfId="564" applyFont="1" applyBorder="1" applyAlignment="1">
      <alignment horizontal="center"/>
    </xf>
    <xf numFmtId="0" fontId="122" fillId="0" borderId="4" xfId="564" applyFont="1" applyBorder="1" applyAlignment="1">
      <alignment horizontal="center" wrapText="1"/>
    </xf>
    <xf numFmtId="0" fontId="122" fillId="0" borderId="4" xfId="564" applyFont="1" applyBorder="1" applyAlignment="1">
      <alignment wrapText="1"/>
    </xf>
    <xf numFmtId="0" fontId="122" fillId="0" borderId="10" xfId="564" applyFont="1" applyBorder="1" applyAlignment="1">
      <alignment horizontal="center" wrapText="1"/>
    </xf>
    <xf numFmtId="0" fontId="122" fillId="0" borderId="0" xfId="564" applyFont="1" applyBorder="1" applyAlignment="1">
      <alignment horizontal="center" wrapText="1"/>
    </xf>
    <xf numFmtId="0" fontId="122" fillId="0" borderId="4" xfId="564" applyFont="1" applyBorder="1" applyAlignment="1">
      <alignment horizontal="center"/>
    </xf>
    <xf numFmtId="175" fontId="122" fillId="0" borderId="4" xfId="564" applyNumberFormat="1" applyFont="1" applyBorder="1" applyAlignment="1">
      <alignment horizontal="center" wrapText="1"/>
    </xf>
    <xf numFmtId="175" fontId="122" fillId="0" borderId="10" xfId="564" applyNumberFormat="1" applyFont="1" applyBorder="1" applyAlignment="1">
      <alignment horizontal="center" wrapText="1"/>
    </xf>
    <xf numFmtId="175" fontId="122" fillId="0" borderId="0" xfId="564" applyNumberFormat="1" applyFont="1" applyBorder="1" applyAlignment="1">
      <alignment horizontal="center" wrapText="1"/>
    </xf>
    <xf numFmtId="169" fontId="122" fillId="0" borderId="4" xfId="564" applyNumberFormat="1" applyFont="1" applyBorder="1" applyAlignment="1">
      <alignment horizontal="center"/>
    </xf>
    <xf numFmtId="0" fontId="123" fillId="0" borderId="4" xfId="564" applyFont="1" applyBorder="1" applyAlignment="1">
      <alignment horizontal="center"/>
    </xf>
    <xf numFmtId="0" fontId="123" fillId="0" borderId="4" xfId="564" applyFont="1" applyBorder="1" applyAlignment="1">
      <alignment wrapText="1"/>
    </xf>
    <xf numFmtId="175" fontId="123" fillId="0" borderId="4" xfId="564" applyNumberFormat="1" applyFont="1" applyBorder="1" applyAlignment="1">
      <alignment horizontal="center" wrapText="1"/>
    </xf>
    <xf numFmtId="175" fontId="123" fillId="0" borderId="4" xfId="564" applyNumberFormat="1" applyFont="1" applyBorder="1" applyAlignment="1">
      <alignment horizontal="center"/>
    </xf>
    <xf numFmtId="175" fontId="123" fillId="0" borderId="10" xfId="564" applyNumberFormat="1" applyFont="1" applyBorder="1" applyAlignment="1">
      <alignment horizontal="center"/>
    </xf>
    <xf numFmtId="175" fontId="123" fillId="0" borderId="0" xfId="564" applyNumberFormat="1" applyFont="1" applyBorder="1" applyAlignment="1">
      <alignment horizontal="center"/>
    </xf>
    <xf numFmtId="0" fontId="122" fillId="12" borderId="4" xfId="564" applyFont="1" applyFill="1" applyBorder="1" applyAlignment="1">
      <alignment wrapText="1"/>
    </xf>
    <xf numFmtId="175" fontId="134" fillId="12" borderId="4" xfId="564" applyNumberFormat="1" applyFont="1" applyFill="1" applyBorder="1" applyAlignment="1">
      <alignment horizontal="center" wrapText="1"/>
    </xf>
    <xf numFmtId="175" fontId="134" fillId="12" borderId="10" xfId="564" applyNumberFormat="1" applyFont="1" applyFill="1" applyBorder="1" applyAlignment="1">
      <alignment horizontal="center" wrapText="1"/>
    </xf>
    <xf numFmtId="175" fontId="139" fillId="12" borderId="4" xfId="564" quotePrefix="1" applyNumberFormat="1" applyFont="1" applyFill="1" applyBorder="1" applyAlignment="1">
      <alignment horizontal="center"/>
    </xf>
    <xf numFmtId="175" fontId="139" fillId="12" borderId="4" xfId="564" applyNumberFormat="1" applyFont="1" applyFill="1" applyBorder="1" applyAlignment="1">
      <alignment horizontal="center"/>
    </xf>
    <xf numFmtId="175" fontId="139" fillId="12" borderId="10" xfId="564" quotePrefix="1" applyNumberFormat="1" applyFont="1" applyFill="1" applyBorder="1" applyAlignment="1">
      <alignment horizontal="center"/>
    </xf>
    <xf numFmtId="0" fontId="122" fillId="0" borderId="0" xfId="564" applyFont="1" applyBorder="1" applyAlignment="1">
      <alignment horizontal="left"/>
    </xf>
    <xf numFmtId="0" fontId="123" fillId="0" borderId="0" xfId="0" applyFont="1" applyFill="1" applyBorder="1" applyAlignment="1">
      <alignment wrapText="1"/>
    </xf>
    <xf numFmtId="175" fontId="123" fillId="0" borderId="0" xfId="0" applyNumberFormat="1" applyFont="1" applyFill="1" applyBorder="1" applyAlignment="1">
      <alignment horizontal="center" wrapText="1"/>
    </xf>
    <xf numFmtId="0" fontId="13" fillId="0" borderId="133" xfId="0" applyFont="1" applyFill="1" applyBorder="1" applyAlignment="1">
      <alignment horizontal="center" wrapText="1"/>
    </xf>
    <xf numFmtId="2" fontId="0" fillId="0" borderId="0" xfId="0" applyNumberFormat="1"/>
    <xf numFmtId="0" fontId="119" fillId="5" borderId="0" xfId="17" applyFont="1" applyFill="1" applyBorder="1" applyAlignment="1"/>
    <xf numFmtId="0" fontId="126" fillId="0" borderId="4" xfId="0" applyFont="1" applyBorder="1" applyAlignment="1">
      <alignment horizontal="center" vertical="center" wrapText="1"/>
    </xf>
    <xf numFmtId="2" fontId="9" fillId="0" borderId="4" xfId="0" applyNumberFormat="1" applyFont="1" applyBorder="1" applyAlignment="1">
      <alignment horizontal="center" vertical="center"/>
    </xf>
    <xf numFmtId="0" fontId="128" fillId="0" borderId="0" xfId="0" applyFont="1" applyFill="1" applyBorder="1" applyAlignment="1">
      <alignment vertical="center" wrapText="1"/>
    </xf>
    <xf numFmtId="0" fontId="125" fillId="0" borderId="0" xfId="0" applyFont="1" applyAlignment="1">
      <alignment horizontal="center" vertical="center" wrapText="1"/>
    </xf>
    <xf numFmtId="0" fontId="125" fillId="0" borderId="0" xfId="0" applyFont="1" applyAlignment="1">
      <alignment horizontal="center"/>
    </xf>
    <xf numFmtId="0" fontId="119" fillId="0" borderId="4" xfId="17" applyFont="1" applyFill="1" applyBorder="1" applyAlignment="1">
      <alignment horizontal="center" vertical="center" wrapText="1"/>
    </xf>
    <xf numFmtId="0" fontId="124" fillId="0" borderId="0" xfId="0" applyFont="1" applyFill="1" applyBorder="1" applyAlignment="1">
      <alignment horizontal="left"/>
    </xf>
    <xf numFmtId="0" fontId="126" fillId="0" borderId="4" xfId="0" applyFont="1" applyFill="1" applyBorder="1" applyAlignment="1">
      <alignment horizontal="center" vertical="center" wrapText="1"/>
    </xf>
    <xf numFmtId="0" fontId="124" fillId="0" borderId="0" xfId="17" applyFont="1" applyFill="1" applyBorder="1" applyAlignment="1">
      <alignment horizontal="left" vertical="center"/>
    </xf>
    <xf numFmtId="0" fontId="119" fillId="0" borderId="19" xfId="17" applyFont="1" applyFill="1" applyBorder="1" applyAlignment="1">
      <alignment horizontal="center" vertical="center" wrapText="1"/>
    </xf>
    <xf numFmtId="0" fontId="126" fillId="0" borderId="4" xfId="0" applyFont="1" applyBorder="1" applyAlignment="1">
      <alignment horizontal="center" vertical="center" wrapText="1"/>
    </xf>
    <xf numFmtId="0" fontId="120" fillId="0" borderId="4" xfId="564" applyFont="1" applyFill="1" applyBorder="1" applyAlignment="1">
      <alignment horizontal="center" wrapText="1"/>
    </xf>
    <xf numFmtId="0" fontId="120" fillId="0" borderId="4" xfId="564" applyFont="1" applyFill="1" applyBorder="1" applyAlignment="1">
      <alignment horizontal="center"/>
    </xf>
    <xf numFmtId="0" fontId="122" fillId="0" borderId="0" xfId="17" applyFont="1" applyFill="1" applyBorder="1" applyAlignment="1">
      <alignment horizontal="center"/>
    </xf>
    <xf numFmtId="0" fontId="117" fillId="0" borderId="0" xfId="0" applyFont="1" applyAlignment="1">
      <alignment horizontal="center"/>
    </xf>
    <xf numFmtId="0" fontId="122" fillId="0" borderId="4" xfId="0" applyFont="1" applyFill="1" applyBorder="1" applyAlignment="1">
      <alignment horizontal="center" vertical="center" wrapText="1"/>
    </xf>
    <xf numFmtId="0" fontId="0" fillId="0" borderId="0" xfId="0" applyAlignment="1">
      <alignment horizontal="center" vertical="center"/>
    </xf>
    <xf numFmtId="0" fontId="122" fillId="5" borderId="0" xfId="17" applyFont="1" applyFill="1" applyBorder="1" applyAlignment="1">
      <alignment horizontal="center"/>
    </xf>
    <xf numFmtId="0" fontId="128" fillId="0" borderId="0" xfId="0" applyFont="1" applyFill="1" applyBorder="1" applyAlignment="1"/>
    <xf numFmtId="0" fontId="13" fillId="0" borderId="4" xfId="17" applyFont="1" applyFill="1" applyBorder="1" applyAlignment="1">
      <alignment horizontal="center"/>
    </xf>
    <xf numFmtId="171" fontId="120" fillId="0" borderId="4" xfId="72" applyNumberFormat="1" applyFont="1" applyBorder="1" applyAlignment="1">
      <alignment vertical="center" wrapText="1"/>
    </xf>
    <xf numFmtId="171" fontId="119" fillId="0" borderId="4" xfId="72" applyNumberFormat="1" applyFont="1" applyBorder="1" applyAlignment="1">
      <alignment vertical="center" wrapText="1"/>
    </xf>
    <xf numFmtId="0" fontId="119" fillId="0" borderId="19" xfId="0" applyFont="1" applyFill="1" applyBorder="1" applyAlignment="1">
      <alignment vertical="center"/>
    </xf>
    <xf numFmtId="0" fontId="126" fillId="0" borderId="133" xfId="0" applyFont="1" applyBorder="1" applyAlignment="1">
      <alignment vertical="center" wrapText="1"/>
    </xf>
    <xf numFmtId="0" fontId="125" fillId="0" borderId="4" xfId="0" applyFont="1" applyBorder="1" applyAlignment="1">
      <alignment vertical="center" wrapText="1"/>
    </xf>
    <xf numFmtId="0" fontId="128" fillId="5" borderId="0" xfId="0" applyFont="1" applyFill="1" applyBorder="1" applyAlignment="1"/>
    <xf numFmtId="0" fontId="124" fillId="0" borderId="0" xfId="0" applyFont="1" applyFill="1" applyBorder="1" applyAlignment="1"/>
    <xf numFmtId="0" fontId="127" fillId="5" borderId="0" xfId="0" applyFont="1" applyFill="1" applyBorder="1" applyAlignment="1"/>
    <xf numFmtId="0" fontId="126" fillId="0" borderId="4" xfId="0" applyFont="1" applyBorder="1" applyAlignment="1">
      <alignment vertical="center" wrapText="1"/>
    </xf>
    <xf numFmtId="0" fontId="119" fillId="0" borderId="11" xfId="0" applyFont="1" applyFill="1" applyBorder="1" applyAlignment="1">
      <alignment horizontal="center" vertical="center"/>
    </xf>
    <xf numFmtId="0" fontId="119" fillId="0" borderId="11" xfId="0" applyFont="1" applyFill="1" applyBorder="1" applyAlignment="1">
      <alignment horizontal="left" wrapText="1"/>
    </xf>
    <xf numFmtId="0" fontId="125" fillId="0" borderId="11" xfId="0" applyFont="1" applyFill="1" applyBorder="1" applyAlignment="1">
      <alignment wrapText="1"/>
    </xf>
    <xf numFmtId="0" fontId="124" fillId="0" borderId="0" xfId="17" applyFont="1" applyBorder="1" applyAlignment="1">
      <alignment horizontal="center" vertical="center"/>
    </xf>
    <xf numFmtId="0" fontId="125" fillId="0" borderId="0" xfId="0" applyFont="1"/>
    <xf numFmtId="0" fontId="126" fillId="0" borderId="4" xfId="0" applyFont="1" applyBorder="1" applyAlignment="1">
      <alignment wrapText="1"/>
    </xf>
    <xf numFmtId="0" fontId="126" fillId="0" borderId="4" xfId="0" applyFont="1" applyBorder="1"/>
    <xf numFmtId="0" fontId="126" fillId="0" borderId="0" xfId="0" applyFont="1"/>
    <xf numFmtId="0" fontId="126" fillId="0" borderId="4" xfId="0" applyFont="1" applyBorder="1" applyAlignment="1"/>
    <xf numFmtId="0" fontId="125" fillId="0" borderId="4" xfId="0" applyFont="1" applyBorder="1" applyAlignment="1">
      <alignment horizontal="center" vertical="center"/>
    </xf>
    <xf numFmtId="0" fontId="126" fillId="0" borderId="4" xfId="0" applyFont="1" applyBorder="1" applyAlignment="1">
      <alignment horizontal="center"/>
    </xf>
    <xf numFmtId="0" fontId="126" fillId="0" borderId="0" xfId="0" applyFont="1" applyBorder="1" applyAlignment="1">
      <alignment horizontal="left"/>
    </xf>
    <xf numFmtId="0" fontId="161" fillId="0" borderId="0" xfId="0" applyFont="1" applyBorder="1" applyAlignment="1">
      <alignment horizontal="left"/>
    </xf>
    <xf numFmtId="0" fontId="126" fillId="0" borderId="4" xfId="0" applyFont="1" applyBorder="1" applyAlignment="1">
      <alignment vertical="center"/>
    </xf>
    <xf numFmtId="0" fontId="126" fillId="0" borderId="0" xfId="0" applyFont="1" applyAlignment="1">
      <alignment vertical="center"/>
    </xf>
    <xf numFmtId="0" fontId="126" fillId="0" borderId="0" xfId="0" applyFont="1" applyBorder="1" applyAlignment="1">
      <alignment horizontal="left" vertical="center"/>
    </xf>
    <xf numFmtId="0" fontId="126" fillId="0" borderId="0" xfId="0" applyFont="1" applyBorder="1" applyAlignment="1">
      <alignment vertical="center"/>
    </xf>
    <xf numFmtId="0" fontId="126" fillId="0" borderId="0" xfId="0" applyFont="1" applyBorder="1"/>
    <xf numFmtId="0" fontId="126" fillId="0" borderId="4" xfId="0" applyFont="1" applyFill="1" applyBorder="1" applyAlignment="1">
      <alignment horizontal="center" vertical="center"/>
    </xf>
    <xf numFmtId="0" fontId="119" fillId="0" borderId="0" xfId="564" applyFont="1" applyFill="1" applyBorder="1" applyAlignment="1"/>
    <xf numFmtId="2" fontId="119" fillId="0" borderId="0" xfId="564" applyNumberFormat="1" applyFont="1" applyFill="1" applyBorder="1" applyAlignment="1">
      <alignment horizontal="center"/>
    </xf>
    <xf numFmtId="0" fontId="126" fillId="0" borderId="0" xfId="0" applyFont="1" applyAlignment="1">
      <alignment horizontal="center"/>
    </xf>
    <xf numFmtId="0" fontId="125" fillId="0" borderId="4" xfId="0" applyFont="1" applyBorder="1" applyAlignment="1">
      <alignment horizontal="center" wrapText="1"/>
    </xf>
    <xf numFmtId="0" fontId="125" fillId="0" borderId="4" xfId="0" applyFont="1" applyBorder="1" applyAlignment="1">
      <alignment horizontal="center"/>
    </xf>
    <xf numFmtId="0" fontId="125" fillId="0" borderId="4" xfId="0" applyFont="1" applyBorder="1"/>
    <xf numFmtId="0" fontId="125" fillId="0" borderId="0" xfId="0" applyFont="1" applyAlignment="1">
      <alignment wrapText="1"/>
    </xf>
    <xf numFmtId="0" fontId="119" fillId="0" borderId="4" xfId="0" applyFont="1" applyBorder="1" applyAlignment="1">
      <alignment horizontal="center"/>
    </xf>
    <xf numFmtId="0" fontId="125" fillId="0" borderId="4" xfId="0" applyFont="1" applyBorder="1" applyAlignment="1">
      <alignment horizontal="center" vertical="top" wrapText="1"/>
    </xf>
    <xf numFmtId="0" fontId="126" fillId="0" borderId="4" xfId="0" applyFont="1" applyBorder="1" applyAlignment="1">
      <alignment horizontal="center" wrapText="1"/>
    </xf>
    <xf numFmtId="0" fontId="125" fillId="0" borderId="4" xfId="0" applyFont="1" applyBorder="1" applyAlignment="1">
      <alignment vertical="center"/>
    </xf>
    <xf numFmtId="0" fontId="125" fillId="0" borderId="4" xfId="0" applyFont="1" applyBorder="1" applyAlignment="1">
      <alignment wrapText="1"/>
    </xf>
    <xf numFmtId="0" fontId="119" fillId="0" borderId="0" xfId="0" applyFont="1" applyFill="1"/>
    <xf numFmtId="0" fontId="120" fillId="0" borderId="4" xfId="0" applyFont="1" applyFill="1" applyBorder="1" applyAlignment="1">
      <alignment horizontal="center" wrapText="1"/>
    </xf>
    <xf numFmtId="0" fontId="125" fillId="0" borderId="133" xfId="0" applyFont="1" applyBorder="1" applyAlignment="1">
      <alignment vertical="center" wrapText="1"/>
    </xf>
    <xf numFmtId="0" fontId="125" fillId="0" borderId="0" xfId="0" applyFont="1" applyBorder="1" applyAlignment="1">
      <alignment horizontal="center" vertical="center" wrapText="1"/>
    </xf>
    <xf numFmtId="0" fontId="125" fillId="0" borderId="0" xfId="0" applyFont="1" applyAlignment="1">
      <alignment horizontal="left"/>
    </xf>
    <xf numFmtId="0" fontId="125" fillId="0" borderId="0" xfId="0" applyFont="1" applyBorder="1" applyAlignment="1">
      <alignment horizontal="left" vertical="center" wrapText="1"/>
    </xf>
    <xf numFmtId="0" fontId="120" fillId="0" borderId="4" xfId="0" applyFont="1" applyFill="1" applyBorder="1" applyAlignment="1">
      <alignment horizontal="left" vertical="center" wrapText="1"/>
    </xf>
    <xf numFmtId="0" fontId="120" fillId="0" borderId="0" xfId="564" applyFont="1" applyFill="1" applyBorder="1" applyAlignment="1">
      <alignment horizontal="left"/>
    </xf>
    <xf numFmtId="0" fontId="120" fillId="0" borderId="0" xfId="564" applyFont="1" applyFill="1" applyBorder="1" applyAlignment="1">
      <alignment horizontal="left" wrapText="1"/>
    </xf>
    <xf numFmtId="0" fontId="120" fillId="0" borderId="0" xfId="564" applyFont="1" applyFill="1" applyBorder="1" applyAlignment="1">
      <alignment horizontal="center"/>
    </xf>
    <xf numFmtId="0" fontId="119" fillId="5" borderId="0" xfId="17" applyFont="1" applyFill="1" applyBorder="1" applyAlignment="1">
      <alignment horizontal="center"/>
    </xf>
    <xf numFmtId="43" fontId="120" fillId="0" borderId="4" xfId="72" applyFont="1" applyFill="1" applyBorder="1" applyAlignment="1">
      <alignment horizontal="center"/>
    </xf>
    <xf numFmtId="43" fontId="120" fillId="0" borderId="4" xfId="72" applyFont="1" applyFill="1" applyBorder="1" applyAlignment="1">
      <alignment horizontal="center" vertical="center"/>
    </xf>
    <xf numFmtId="43" fontId="125" fillId="0" borderId="4" xfId="0" applyNumberFormat="1" applyFont="1" applyBorder="1" applyAlignment="1"/>
    <xf numFmtId="43" fontId="125" fillId="0" borderId="4" xfId="72" applyFont="1" applyBorder="1" applyAlignment="1"/>
    <xf numFmtId="43" fontId="125" fillId="0" borderId="4" xfId="72" applyFont="1" applyBorder="1" applyAlignment="1">
      <alignment vertical="center"/>
    </xf>
    <xf numFmtId="43" fontId="120" fillId="0" borderId="4" xfId="564" applyNumberFormat="1" applyFont="1" applyFill="1" applyBorder="1" applyAlignment="1">
      <alignment horizontal="center"/>
    </xf>
    <xf numFmtId="0" fontId="119" fillId="0" borderId="0" xfId="17" applyFont="1" applyFill="1" applyBorder="1" applyAlignment="1">
      <alignment vertical="center" wrapText="1"/>
    </xf>
    <xf numFmtId="0" fontId="119" fillId="5" borderId="0" xfId="17" applyFont="1" applyFill="1" applyBorder="1" applyAlignment="1">
      <alignment vertical="center" wrapText="1"/>
    </xf>
    <xf numFmtId="0" fontId="119" fillId="0" borderId="19" xfId="17" applyFont="1" applyFill="1" applyBorder="1" applyAlignment="1">
      <alignment vertical="center" wrapText="1"/>
    </xf>
    <xf numFmtId="0" fontId="125" fillId="0" borderId="28" xfId="0" applyFont="1" applyBorder="1" applyAlignment="1">
      <alignment vertical="center" wrapText="1"/>
    </xf>
    <xf numFmtId="0" fontId="125" fillId="0" borderId="0" xfId="0" applyFont="1" applyBorder="1" applyAlignment="1">
      <alignment wrapText="1"/>
    </xf>
    <xf numFmtId="0" fontId="125" fillId="13" borderId="0" xfId="0" applyFont="1" applyFill="1" applyBorder="1" applyAlignment="1"/>
    <xf numFmtId="0" fontId="125" fillId="13" borderId="10" xfId="0" applyFont="1" applyFill="1" applyBorder="1" applyAlignment="1"/>
    <xf numFmtId="0" fontId="125" fillId="13" borderId="4" xfId="0" applyFont="1" applyFill="1" applyBorder="1" applyAlignment="1"/>
    <xf numFmtId="0" fontId="125" fillId="0" borderId="134" xfId="0" applyFont="1" applyBorder="1" applyAlignment="1"/>
    <xf numFmtId="0" fontId="125" fillId="0" borderId="20" xfId="0" applyFont="1" applyBorder="1" applyAlignment="1"/>
    <xf numFmtId="0" fontId="125" fillId="13" borderId="4" xfId="0" applyFont="1" applyFill="1" applyBorder="1" applyAlignment="1">
      <alignment wrapText="1"/>
    </xf>
    <xf numFmtId="43" fontId="125" fillId="0" borderId="4" xfId="0" applyNumberFormat="1" applyFont="1" applyBorder="1" applyAlignment="1"/>
    <xf numFmtId="0" fontId="120" fillId="0" borderId="0" xfId="564" applyFont="1" applyFill="1" applyBorder="1" applyAlignment="1">
      <alignment horizontal="center" vertical="center" wrapText="1"/>
    </xf>
    <xf numFmtId="43" fontId="125" fillId="0" borderId="4" xfId="72" applyFont="1" applyBorder="1"/>
    <xf numFmtId="43" fontId="125" fillId="0" borderId="4" xfId="72" applyFont="1" applyBorder="1" applyAlignment="1">
      <alignment wrapText="1"/>
    </xf>
    <xf numFmtId="43" fontId="125" fillId="0" borderId="4" xfId="72" applyFont="1" applyBorder="1" applyAlignment="1">
      <alignment vertical="top" wrapText="1"/>
    </xf>
    <xf numFmtId="43" fontId="126" fillId="0" borderId="4" xfId="72" applyFont="1" applyBorder="1"/>
    <xf numFmtId="0" fontId="120" fillId="0" borderId="0" xfId="564" applyFont="1" applyFill="1" applyBorder="1" applyAlignment="1">
      <alignment horizontal="justify" wrapText="1"/>
    </xf>
    <xf numFmtId="0" fontId="120" fillId="0" borderId="0" xfId="17" applyFont="1" applyFill="1" applyBorder="1" applyAlignment="1"/>
    <xf numFmtId="0" fontId="120" fillId="0" borderId="4" xfId="564" applyFont="1" applyFill="1" applyBorder="1" applyAlignment="1">
      <alignment horizontal="left"/>
    </xf>
    <xf numFmtId="43" fontId="120" fillId="0" borderId="0" xfId="564" applyNumberFormat="1" applyFont="1" applyFill="1" applyBorder="1" applyAlignment="1">
      <alignment horizontal="left"/>
    </xf>
    <xf numFmtId="0" fontId="120" fillId="0" borderId="4" xfId="564" applyFont="1" applyFill="1" applyBorder="1" applyAlignment="1">
      <alignment horizontal="right" vertical="center"/>
    </xf>
    <xf numFmtId="0" fontId="119" fillId="0" borderId="0" xfId="564" applyFont="1" applyFill="1" applyBorder="1" applyAlignment="1">
      <alignment horizontal="left"/>
    </xf>
    <xf numFmtId="43" fontId="120" fillId="0" borderId="4" xfId="564" applyNumberFormat="1" applyFont="1" applyFill="1" applyBorder="1" applyAlignment="1">
      <alignment horizontal="right" vertical="center"/>
    </xf>
    <xf numFmtId="0" fontId="125" fillId="0" borderId="4" xfId="0" applyFont="1" applyBorder="1" applyAlignment="1">
      <alignment vertical="top"/>
    </xf>
    <xf numFmtId="43" fontId="120" fillId="0" borderId="4" xfId="72" applyFont="1" applyFill="1" applyBorder="1" applyAlignment="1">
      <alignment horizontal="right" vertical="center"/>
    </xf>
    <xf numFmtId="0" fontId="119" fillId="0" borderId="0" xfId="17" applyFont="1" applyFill="1" applyBorder="1" applyAlignment="1">
      <alignment horizontal="left" vertical="center" wrapText="1"/>
    </xf>
    <xf numFmtId="0" fontId="120" fillId="0" borderId="0" xfId="564" applyFont="1" applyFill="1" applyBorder="1" applyAlignment="1">
      <alignment horizontal="center" vertical="center"/>
    </xf>
    <xf numFmtId="0" fontId="120" fillId="0" borderId="0" xfId="564" applyFont="1" applyFill="1" applyBorder="1" applyAlignment="1">
      <alignment horizontal="left" vertical="center"/>
    </xf>
    <xf numFmtId="0" fontId="120" fillId="0" borderId="4" xfId="564" applyFont="1" applyFill="1" applyBorder="1" applyAlignment="1">
      <alignment horizontal="center" vertical="center"/>
    </xf>
    <xf numFmtId="0" fontId="120" fillId="0" borderId="4" xfId="564" applyFont="1" applyFill="1" applyBorder="1" applyAlignment="1">
      <alignment horizontal="left" vertical="center" wrapText="1"/>
    </xf>
    <xf numFmtId="0" fontId="120" fillId="0" borderId="4" xfId="564" applyFont="1" applyFill="1" applyBorder="1" applyAlignment="1">
      <alignment vertical="center"/>
    </xf>
    <xf numFmtId="0" fontId="120" fillId="0" borderId="4" xfId="564" applyFont="1" applyFill="1" applyBorder="1" applyAlignment="1">
      <alignment horizontal="left" vertical="center"/>
    </xf>
    <xf numFmtId="0" fontId="0" fillId="8" borderId="0" xfId="0" applyFill="1"/>
    <xf numFmtId="43" fontId="119" fillId="0" borderId="0" xfId="564" applyNumberFormat="1" applyFont="1" applyFill="1" applyBorder="1" applyAlignment="1">
      <alignment horizontal="left"/>
    </xf>
    <xf numFmtId="0" fontId="125" fillId="13" borderId="0" xfId="0" applyFont="1" applyFill="1" applyBorder="1" applyAlignment="1">
      <alignment horizontal="center"/>
    </xf>
    <xf numFmtId="0" fontId="125" fillId="13" borderId="10" xfId="0" applyFont="1" applyFill="1" applyBorder="1" applyAlignment="1">
      <alignment horizontal="center"/>
    </xf>
    <xf numFmtId="0" fontId="125" fillId="0" borderId="133" xfId="0" applyFont="1" applyBorder="1" applyAlignment="1">
      <alignment horizontal="center"/>
    </xf>
    <xf numFmtId="0" fontId="125" fillId="0" borderId="133" xfId="0" applyFont="1" applyBorder="1" applyAlignment="1">
      <alignment horizontal="center" vertical="center"/>
    </xf>
    <xf numFmtId="0" fontId="125" fillId="0" borderId="0" xfId="0" applyFont="1" applyBorder="1" applyAlignment="1">
      <alignment horizontal="center"/>
    </xf>
    <xf numFmtId="43" fontId="125" fillId="0" borderId="4" xfId="72" applyFont="1" applyFill="1" applyBorder="1" applyAlignment="1">
      <alignment vertical="center" wrapText="1"/>
    </xf>
    <xf numFmtId="0" fontId="122" fillId="9" borderId="4" xfId="17" applyFont="1" applyFill="1" applyBorder="1" applyAlignment="1">
      <alignment vertical="center" wrapText="1"/>
    </xf>
    <xf numFmtId="2" fontId="120" fillId="0" borderId="4" xfId="0" applyNumberFormat="1" applyFont="1" applyFill="1" applyBorder="1" applyAlignment="1">
      <alignment horizontal="center" wrapText="1"/>
    </xf>
    <xf numFmtId="175" fontId="120" fillId="0" borderId="4" xfId="0" applyNumberFormat="1" applyFont="1" applyFill="1" applyBorder="1" applyAlignment="1">
      <alignment horizontal="center" wrapText="1"/>
    </xf>
    <xf numFmtId="175" fontId="120" fillId="0" borderId="4" xfId="0" applyNumberFormat="1" applyFont="1" applyFill="1" applyBorder="1" applyAlignment="1">
      <alignment horizontal="right" wrapText="1"/>
    </xf>
    <xf numFmtId="175" fontId="125" fillId="0" borderId="4" xfId="0" applyNumberFormat="1" applyFont="1" applyFill="1" applyBorder="1" applyAlignment="1"/>
    <xf numFmtId="0" fontId="119" fillId="12" borderId="4" xfId="0" applyFont="1" applyFill="1" applyBorder="1" applyAlignment="1"/>
    <xf numFmtId="0" fontId="119" fillId="12" borderId="28" xfId="0" applyFont="1" applyFill="1" applyBorder="1" applyAlignment="1">
      <alignment horizontal="left" vertical="center" wrapText="1"/>
    </xf>
    <xf numFmtId="0" fontId="125" fillId="13" borderId="11" xfId="0" applyFont="1" applyFill="1" applyBorder="1" applyAlignment="1"/>
    <xf numFmtId="0" fontId="125" fillId="13" borderId="11" xfId="0" applyFont="1" applyFill="1" applyBorder="1" applyAlignment="1">
      <alignment wrapText="1"/>
    </xf>
    <xf numFmtId="0" fontId="125" fillId="13" borderId="15" xfId="0" applyFont="1" applyFill="1" applyBorder="1" applyAlignment="1"/>
    <xf numFmtId="0" fontId="125" fillId="13" borderId="19" xfId="0" applyFont="1" applyFill="1" applyBorder="1" applyAlignment="1"/>
    <xf numFmtId="0" fontId="125" fillId="13" borderId="27" xfId="0" applyFont="1" applyFill="1" applyBorder="1" applyAlignment="1"/>
    <xf numFmtId="0" fontId="125" fillId="13" borderId="134" xfId="0" applyFont="1" applyFill="1" applyBorder="1" applyAlignment="1"/>
    <xf numFmtId="0" fontId="125" fillId="13" borderId="20" xfId="0" applyFont="1" applyFill="1" applyBorder="1" applyAlignment="1"/>
    <xf numFmtId="2" fontId="119" fillId="12" borderId="4" xfId="0" applyNumberFormat="1" applyFont="1" applyFill="1" applyBorder="1" applyAlignment="1">
      <alignment horizontal="center"/>
    </xf>
    <xf numFmtId="0" fontId="124" fillId="0" borderId="0" xfId="17" applyFont="1" applyFill="1" applyBorder="1" applyAlignment="1">
      <alignment vertical="center"/>
    </xf>
    <xf numFmtId="0" fontId="124" fillId="5" borderId="0" xfId="17" applyFont="1" applyFill="1" applyBorder="1" applyAlignment="1"/>
    <xf numFmtId="0" fontId="119" fillId="0" borderId="0" xfId="0" applyFont="1" applyAlignment="1">
      <alignment horizontal="center"/>
    </xf>
    <xf numFmtId="0" fontId="119" fillId="0" borderId="0" xfId="0" applyFont="1" applyFill="1" applyAlignment="1">
      <alignment horizontal="center"/>
    </xf>
    <xf numFmtId="0" fontId="125" fillId="0" borderId="137" xfId="0" applyFont="1" applyBorder="1"/>
    <xf numFmtId="0" fontId="125" fillId="0" borderId="137" xfId="0" applyFont="1" applyBorder="1" applyAlignment="1">
      <alignment horizontal="center"/>
    </xf>
    <xf numFmtId="0" fontId="125" fillId="0" borderId="140" xfId="0" applyFont="1" applyBorder="1" applyAlignment="1">
      <alignment wrapText="1"/>
    </xf>
    <xf numFmtId="10" fontId="125" fillId="0" borderId="0" xfId="58" applyNumberFormat="1" applyFont="1" applyAlignment="1"/>
    <xf numFmtId="0" fontId="125" fillId="0" borderId="0" xfId="0" applyFont="1" applyAlignment="1">
      <alignment horizontal="justify"/>
    </xf>
    <xf numFmtId="0" fontId="125" fillId="0" borderId="4" xfId="0" applyFont="1" applyBorder="1" applyAlignment="1">
      <alignment vertical="top" wrapText="1"/>
    </xf>
    <xf numFmtId="2" fontId="125" fillId="0" borderId="4" xfId="0" applyNumberFormat="1" applyFont="1" applyBorder="1" applyAlignment="1">
      <alignment wrapText="1"/>
    </xf>
    <xf numFmtId="10" fontId="125" fillId="0" borderId="4" xfId="58" applyNumberFormat="1" applyFont="1" applyBorder="1" applyAlignment="1"/>
    <xf numFmtId="2" fontId="125" fillId="0" borderId="4" xfId="0" applyNumberFormat="1" applyFont="1" applyBorder="1"/>
    <xf numFmtId="0" fontId="125" fillId="0" borderId="4" xfId="0" applyFont="1" applyBorder="1" applyAlignment="1">
      <alignment horizontal="center" vertical="top"/>
    </xf>
    <xf numFmtId="10" fontId="125" fillId="0" borderId="4" xfId="58" applyNumberFormat="1" applyFont="1" applyBorder="1"/>
    <xf numFmtId="2" fontId="126" fillId="0" borderId="4" xfId="0" applyNumberFormat="1" applyFont="1" applyBorder="1"/>
    <xf numFmtId="43" fontId="125" fillId="0" borderId="4" xfId="0" applyNumberFormat="1" applyFont="1" applyBorder="1"/>
    <xf numFmtId="0" fontId="121" fillId="0" borderId="0" xfId="17" applyFont="1" applyFill="1" applyBorder="1" applyAlignment="1">
      <alignment horizontal="left" vertical="center"/>
    </xf>
    <xf numFmtId="171" fontId="123" fillId="0" borderId="4" xfId="72" applyNumberFormat="1" applyFont="1" applyFill="1" applyBorder="1" applyAlignment="1">
      <alignment horizontal="center"/>
    </xf>
    <xf numFmtId="10" fontId="123" fillId="0" borderId="4" xfId="58" applyNumberFormat="1" applyFont="1" applyFill="1" applyBorder="1" applyAlignment="1">
      <alignment horizontal="center" wrapText="1"/>
    </xf>
    <xf numFmtId="206" fontId="125" fillId="0" borderId="4" xfId="72" applyNumberFormat="1" applyFont="1" applyBorder="1" applyAlignment="1"/>
    <xf numFmtId="43" fontId="126" fillId="0" borderId="4" xfId="0" applyNumberFormat="1" applyFont="1" applyBorder="1" applyAlignment="1"/>
    <xf numFmtId="0" fontId="120" fillId="0" borderId="4" xfId="0" applyNumberFormat="1" applyFont="1" applyFill="1" applyBorder="1" applyAlignment="1">
      <alignment horizontal="center"/>
    </xf>
    <xf numFmtId="0" fontId="135" fillId="0" borderId="4" xfId="0" applyFont="1" applyFill="1" applyBorder="1" applyAlignment="1">
      <alignment horizontal="left" wrapText="1"/>
    </xf>
    <xf numFmtId="2" fontId="120" fillId="0" borderId="4" xfId="0" applyNumberFormat="1" applyFont="1" applyFill="1" applyBorder="1" applyAlignment="1">
      <alignment horizontal="center"/>
    </xf>
    <xf numFmtId="2" fontId="120" fillId="0" borderId="4" xfId="0" applyNumberFormat="1" applyFont="1" applyFill="1" applyBorder="1" applyAlignment="1"/>
    <xf numFmtId="0" fontId="120" fillId="0" borderId="0" xfId="0" applyNumberFormat="1" applyFont="1" applyFill="1" applyBorder="1" applyAlignment="1">
      <alignment horizontal="center"/>
    </xf>
    <xf numFmtId="0" fontId="120" fillId="0" borderId="0" xfId="0" applyFont="1" applyFill="1" applyBorder="1" applyAlignment="1">
      <alignment wrapText="1"/>
    </xf>
    <xf numFmtId="2" fontId="120" fillId="0" borderId="0" xfId="0" applyNumberFormat="1" applyFont="1" applyFill="1" applyBorder="1" applyAlignment="1">
      <alignment horizontal="center"/>
    </xf>
    <xf numFmtId="0" fontId="119" fillId="0" borderId="0" xfId="57" applyFont="1" applyAlignment="1">
      <alignment horizontal="center"/>
    </xf>
    <xf numFmtId="0" fontId="120" fillId="0" borderId="4" xfId="57" applyFont="1" applyBorder="1" applyAlignment="1"/>
    <xf numFmtId="0" fontId="124" fillId="0" borderId="0" xfId="17" applyFont="1" applyFill="1" applyBorder="1" applyAlignment="1">
      <alignment horizontal="left"/>
    </xf>
    <xf numFmtId="0" fontId="119" fillId="0" borderId="0" xfId="57" applyFont="1" applyFill="1" applyAlignment="1">
      <alignment horizontal="center"/>
    </xf>
    <xf numFmtId="10" fontId="120" fillId="0" borderId="4" xfId="58" applyNumberFormat="1" applyFont="1" applyFill="1" applyBorder="1" applyAlignment="1">
      <alignment horizontal="center"/>
    </xf>
    <xf numFmtId="43" fontId="120" fillId="0" borderId="4" xfId="72" applyFont="1" applyBorder="1" applyAlignment="1">
      <alignment vertical="center"/>
    </xf>
    <xf numFmtId="10" fontId="120" fillId="0" borderId="4" xfId="58" applyNumberFormat="1" applyFont="1" applyFill="1" applyBorder="1" applyAlignment="1">
      <alignment horizontal="center" vertical="center"/>
    </xf>
    <xf numFmtId="10" fontId="125" fillId="0" borderId="4" xfId="0" applyNumberFormat="1" applyFont="1" applyBorder="1" applyAlignment="1">
      <alignment vertical="center"/>
    </xf>
    <xf numFmtId="43" fontId="125" fillId="0" borderId="0" xfId="72" applyFont="1" applyAlignment="1"/>
    <xf numFmtId="43" fontId="125" fillId="0" borderId="0" xfId="0" applyNumberFormat="1" applyFont="1" applyAlignment="1"/>
    <xf numFmtId="0" fontId="136" fillId="0" borderId="4" xfId="0" applyFont="1" applyFill="1" applyBorder="1" applyAlignment="1">
      <alignment horizontal="left" wrapText="1"/>
    </xf>
    <xf numFmtId="43" fontId="119" fillId="0" borderId="4" xfId="72" applyFont="1" applyFill="1" applyBorder="1" applyAlignment="1">
      <alignment horizontal="center" vertical="center"/>
    </xf>
    <xf numFmtId="203" fontId="125" fillId="0" borderId="4" xfId="0" applyNumberFormat="1" applyFont="1" applyBorder="1"/>
    <xf numFmtId="43" fontId="126" fillId="0" borderId="4" xfId="0" applyNumberFormat="1" applyFont="1" applyBorder="1" applyAlignment="1"/>
    <xf numFmtId="206" fontId="125" fillId="0" borderId="4" xfId="72" applyNumberFormat="1" applyFont="1" applyBorder="1" applyAlignment="1">
      <alignment vertical="center"/>
    </xf>
    <xf numFmtId="171" fontId="125" fillId="0" borderId="4" xfId="72" applyNumberFormat="1" applyFont="1" applyBorder="1" applyAlignment="1">
      <alignment vertical="center"/>
    </xf>
    <xf numFmtId="0" fontId="119" fillId="0" borderId="0" xfId="0" applyFont="1" applyAlignment="1"/>
    <xf numFmtId="0" fontId="120" fillId="0" borderId="4" xfId="0" applyFont="1" applyBorder="1" applyAlignment="1">
      <alignment wrapText="1"/>
    </xf>
    <xf numFmtId="0" fontId="120" fillId="0" borderId="133" xfId="0" applyFont="1" applyFill="1" applyBorder="1" applyAlignment="1">
      <alignment horizontal="center"/>
    </xf>
    <xf numFmtId="203" fontId="120" fillId="0" borderId="4" xfId="0" applyNumberFormat="1" applyFont="1" applyBorder="1" applyAlignment="1">
      <alignment horizontal="left" indent="3"/>
    </xf>
    <xf numFmtId="0" fontId="120" fillId="0" borderId="0" xfId="0" applyFont="1" applyFill="1" applyBorder="1" applyAlignment="1"/>
    <xf numFmtId="0" fontId="120" fillId="0" borderId="0" xfId="0" applyFont="1" applyFill="1" applyBorder="1" applyAlignment="1">
      <alignment horizontal="center"/>
    </xf>
    <xf numFmtId="43" fontId="119" fillId="0" borderId="12" xfId="72" applyFont="1" applyFill="1" applyBorder="1" applyAlignment="1">
      <alignment horizontal="center" vertical="center"/>
    </xf>
    <xf numFmtId="43" fontId="120" fillId="0" borderId="4" xfId="72" applyFont="1" applyFill="1" applyBorder="1" applyAlignment="1">
      <alignment vertical="center"/>
    </xf>
    <xf numFmtId="2" fontId="119" fillId="0" borderId="4" xfId="0" applyNumberFormat="1" applyFont="1" applyFill="1" applyBorder="1" applyAlignment="1">
      <alignment horizontal="center"/>
    </xf>
    <xf numFmtId="0" fontId="119" fillId="12" borderId="4" xfId="56" applyFont="1" applyFill="1" applyBorder="1" applyAlignment="1"/>
    <xf numFmtId="0" fontId="119" fillId="12" borderId="28" xfId="56" applyFont="1" applyFill="1" applyBorder="1" applyAlignment="1">
      <alignment wrapText="1"/>
    </xf>
    <xf numFmtId="0" fontId="119" fillId="12" borderId="12" xfId="56" applyFont="1" applyFill="1" applyBorder="1" applyAlignment="1">
      <alignment wrapText="1"/>
    </xf>
    <xf numFmtId="0" fontId="120" fillId="0" borderId="0" xfId="56" applyFont="1" applyAlignment="1"/>
    <xf numFmtId="0" fontId="120" fillId="0" borderId="0" xfId="56" applyFont="1" applyAlignment="1">
      <alignment wrapText="1"/>
    </xf>
    <xf numFmtId="2" fontId="119" fillId="12" borderId="4" xfId="56" applyNumberFormat="1" applyFont="1" applyFill="1" applyBorder="1" applyAlignment="1">
      <alignment horizontal="center" wrapText="1"/>
    </xf>
    <xf numFmtId="43" fontId="119" fillId="12" borderId="4" xfId="72" applyFont="1" applyFill="1" applyBorder="1" applyAlignment="1">
      <alignment horizontal="center" wrapText="1"/>
    </xf>
    <xf numFmtId="2" fontId="119" fillId="0" borderId="4" xfId="0" applyNumberFormat="1" applyFont="1" applyFill="1" applyBorder="1" applyAlignment="1">
      <alignment horizontal="center" vertical="center"/>
    </xf>
    <xf numFmtId="43" fontId="120" fillId="0" borderId="4" xfId="72" applyFont="1" applyFill="1" applyBorder="1" applyAlignment="1">
      <alignment horizontal="center" wrapText="1"/>
    </xf>
    <xf numFmtId="43" fontId="120" fillId="0" borderId="4" xfId="72" applyFont="1" applyFill="1" applyBorder="1" applyAlignment="1">
      <alignment horizontal="center" vertical="center" wrapText="1"/>
    </xf>
    <xf numFmtId="43" fontId="119" fillId="12" borderId="4" xfId="72" applyFont="1" applyFill="1" applyBorder="1" applyAlignment="1">
      <alignment horizontal="center"/>
    </xf>
    <xf numFmtId="43" fontId="125" fillId="0" borderId="4" xfId="72" applyFont="1" applyFill="1" applyBorder="1" applyAlignment="1">
      <alignment vertical="center"/>
    </xf>
    <xf numFmtId="0" fontId="119" fillId="0" borderId="4" xfId="0" applyFont="1" applyFill="1" applyBorder="1" applyAlignment="1">
      <alignment wrapText="1"/>
    </xf>
    <xf numFmtId="171" fontId="120" fillId="0" borderId="4" xfId="0" applyNumberFormat="1" applyFont="1" applyFill="1" applyBorder="1" applyAlignment="1"/>
    <xf numFmtId="0" fontId="119" fillId="0" borderId="0" xfId="0" applyFont="1" applyFill="1" applyBorder="1" applyAlignment="1"/>
    <xf numFmtId="0" fontId="120" fillId="0" borderId="4" xfId="0" applyFont="1" applyFill="1" applyBorder="1" applyAlignment="1">
      <alignment horizontal="right"/>
    </xf>
    <xf numFmtId="0" fontId="119" fillId="12" borderId="4" xfId="0" applyFont="1" applyFill="1" applyBorder="1" applyAlignment="1">
      <alignment horizontal="center" wrapText="1"/>
    </xf>
    <xf numFmtId="0" fontId="120" fillId="12" borderId="4" xfId="0" applyFont="1" applyFill="1" applyBorder="1" applyAlignment="1">
      <alignment horizontal="center"/>
    </xf>
    <xf numFmtId="0" fontId="137" fillId="0" borderId="4" xfId="0" applyFont="1" applyFill="1" applyBorder="1" applyAlignment="1">
      <alignment horizontal="center"/>
    </xf>
    <xf numFmtId="0" fontId="119" fillId="12" borderId="28" xfId="0" applyFont="1" applyFill="1" applyBorder="1" applyAlignment="1">
      <alignment horizontal="center" wrapText="1"/>
    </xf>
    <xf numFmtId="0" fontId="120" fillId="0" borderId="0" xfId="0" applyFont="1" applyBorder="1" applyAlignment="1"/>
    <xf numFmtId="0" fontId="120" fillId="0" borderId="4" xfId="0" applyFont="1" applyBorder="1" applyAlignment="1">
      <alignment horizontal="center"/>
    </xf>
    <xf numFmtId="0" fontId="119" fillId="12" borderId="4" xfId="0" applyFont="1" applyFill="1" applyBorder="1" applyAlignment="1">
      <alignment horizontal="left" wrapText="1"/>
    </xf>
    <xf numFmtId="0" fontId="119" fillId="0" borderId="4" xfId="0" applyFont="1" applyBorder="1" applyAlignment="1">
      <alignment horizontal="left" wrapText="1"/>
    </xf>
    <xf numFmtId="0" fontId="119" fillId="0" borderId="0" xfId="0" applyFont="1" applyFill="1" applyBorder="1" applyAlignment="1">
      <alignment horizontal="center" wrapText="1"/>
    </xf>
    <xf numFmtId="2" fontId="119" fillId="0" borderId="0" xfId="0" applyNumberFormat="1" applyFont="1" applyFill="1" applyBorder="1" applyAlignment="1"/>
    <xf numFmtId="0" fontId="126" fillId="0" borderId="146" xfId="0" applyFont="1" applyBorder="1" applyAlignment="1">
      <alignment horizontal="center" wrapText="1"/>
    </xf>
    <xf numFmtId="0" fontId="126" fillId="0" borderId="31" xfId="0" applyFont="1" applyBorder="1" applyAlignment="1">
      <alignment horizontal="center" wrapText="1"/>
    </xf>
    <xf numFmtId="0" fontId="126" fillId="0" borderId="31" xfId="0" applyFont="1" applyBorder="1" applyAlignment="1">
      <alignment horizontal="center"/>
    </xf>
    <xf numFmtId="0" fontId="125" fillId="0" borderId="140" xfId="0" applyFont="1" applyBorder="1" applyAlignment="1">
      <alignment horizontal="center"/>
    </xf>
    <xf numFmtId="0" fontId="126" fillId="64" borderId="140" xfId="0" applyFont="1" applyFill="1" applyBorder="1" applyAlignment="1">
      <alignment horizontal="center"/>
    </xf>
    <xf numFmtId="0" fontId="165" fillId="64" borderId="140" xfId="0" applyFont="1" applyFill="1" applyBorder="1" applyAlignment="1">
      <alignment horizontal="center"/>
    </xf>
    <xf numFmtId="0" fontId="125" fillId="0" borderId="0" xfId="0" applyFont="1" applyAlignment="1">
      <alignment horizontal="right"/>
    </xf>
    <xf numFmtId="0" fontId="126" fillId="0" borderId="0" xfId="0" applyFont="1" applyFill="1"/>
    <xf numFmtId="0" fontId="125" fillId="0" borderId="0" xfId="0" applyFont="1" applyFill="1"/>
    <xf numFmtId="0" fontId="125" fillId="0" borderId="0" xfId="0" applyFont="1" applyAlignment="1"/>
    <xf numFmtId="0" fontId="125" fillId="0" borderId="4" xfId="0" applyFont="1" applyBorder="1" applyAlignment="1">
      <alignment horizontal="center" vertical="top"/>
    </xf>
    <xf numFmtId="0" fontId="120" fillId="0" borderId="4" xfId="564" applyFont="1" applyFill="1" applyBorder="1" applyAlignment="1">
      <alignment horizontal="center" vertical="center"/>
    </xf>
    <xf numFmtId="0" fontId="125" fillId="0" borderId="0" xfId="0" applyFont="1" applyAlignment="1"/>
    <xf numFmtId="43" fontId="120" fillId="0" borderId="4" xfId="564" applyNumberFormat="1" applyFont="1" applyFill="1" applyBorder="1" applyAlignment="1">
      <alignment vertical="center"/>
    </xf>
    <xf numFmtId="0" fontId="123" fillId="9" borderId="4" xfId="0" applyFont="1" applyFill="1" applyBorder="1" applyAlignment="1">
      <alignment horizontal="center"/>
    </xf>
    <xf numFmtId="0" fontId="123" fillId="9" borderId="4" xfId="0" applyFont="1" applyFill="1" applyBorder="1" applyAlignment="1">
      <alignment horizontal="left" vertical="center" wrapText="1"/>
    </xf>
    <xf numFmtId="9" fontId="123" fillId="9" borderId="4" xfId="0" applyNumberFormat="1" applyFont="1" applyFill="1" applyBorder="1" applyAlignment="1">
      <alignment horizontal="center"/>
    </xf>
    <xf numFmtId="204" fontId="123" fillId="9" borderId="4" xfId="0" applyNumberFormat="1" applyFont="1" applyFill="1" applyBorder="1" applyAlignment="1">
      <alignment horizontal="center"/>
    </xf>
    <xf numFmtId="0" fontId="117" fillId="9" borderId="0" xfId="0" applyFont="1" applyFill="1" applyAlignment="1">
      <alignment horizontal="left" vertical="center" wrapText="1"/>
    </xf>
    <xf numFmtId="0" fontId="117" fillId="9" borderId="4" xfId="0" applyFont="1" applyFill="1" applyBorder="1" applyAlignment="1">
      <alignment horizontal="left" vertical="center" wrapText="1"/>
    </xf>
    <xf numFmtId="9" fontId="133" fillId="9" borderId="4" xfId="0" applyNumberFormat="1" applyFont="1" applyFill="1" applyBorder="1" applyAlignment="1">
      <alignment horizontal="center"/>
    </xf>
    <xf numFmtId="0" fontId="0" fillId="0" borderId="4" xfId="0" applyFont="1" applyFill="1" applyBorder="1" applyAlignment="1">
      <alignment horizontal="center" vertical="center" wrapText="1"/>
    </xf>
    <xf numFmtId="0" fontId="10"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67" fillId="0" borderId="0" xfId="0" applyFont="1" applyFill="1" applyBorder="1" applyAlignment="1">
      <alignment horizontal="center" vertical="center"/>
    </xf>
    <xf numFmtId="0" fontId="168" fillId="0" borderId="0" xfId="0" applyFont="1" applyFill="1" applyBorder="1" applyAlignment="1">
      <alignment horizontal="center" vertical="center"/>
    </xf>
    <xf numFmtId="43" fontId="120" fillId="0" borderId="0" xfId="564" applyNumberFormat="1" applyFont="1" applyFill="1" applyBorder="1" applyAlignment="1">
      <alignment horizontal="left" vertical="center"/>
    </xf>
    <xf numFmtId="0" fontId="119" fillId="12" borderId="11" xfId="0" applyFont="1" applyFill="1" applyBorder="1" applyAlignment="1">
      <alignment horizontal="center" vertical="center" wrapText="1"/>
    </xf>
    <xf numFmtId="0" fontId="120" fillId="0" borderId="133" xfId="0" applyFont="1" applyBorder="1" applyAlignment="1">
      <alignment horizontal="center" vertical="center" wrapText="1"/>
    </xf>
    <xf numFmtId="0" fontId="119" fillId="9" borderId="10" xfId="17" applyFont="1" applyFill="1" applyBorder="1" applyAlignment="1">
      <alignment horizontal="center" vertical="center" wrapText="1"/>
    </xf>
    <xf numFmtId="0" fontId="126" fillId="0" borderId="4" xfId="0" applyFont="1" applyBorder="1" applyAlignment="1">
      <alignment horizontal="center"/>
    </xf>
    <xf numFmtId="0" fontId="122" fillId="9" borderId="4" xfId="17" applyFont="1" applyFill="1" applyBorder="1" applyAlignment="1">
      <alignment horizontal="center" vertical="center" wrapText="1"/>
    </xf>
    <xf numFmtId="0" fontId="122" fillId="0" borderId="0" xfId="17" applyFont="1" applyFill="1" applyBorder="1" applyAlignment="1">
      <alignment horizontal="center"/>
    </xf>
    <xf numFmtId="0" fontId="114" fillId="0" borderId="4" xfId="0" applyFont="1" applyBorder="1" applyAlignment="1">
      <alignment horizontal="center" vertical="center" wrapText="1"/>
    </xf>
    <xf numFmtId="0" fontId="122" fillId="0" borderId="4" xfId="0" applyFont="1" applyFill="1" applyBorder="1" applyAlignment="1">
      <alignment horizontal="center" wrapText="1"/>
    </xf>
    <xf numFmtId="0" fontId="117" fillId="13" borderId="10" xfId="0" applyFont="1" applyFill="1" applyBorder="1" applyAlignment="1"/>
    <xf numFmtId="0" fontId="122" fillId="5" borderId="0" xfId="17" applyFont="1" applyFill="1" applyBorder="1" applyAlignment="1">
      <alignment horizontal="right"/>
    </xf>
    <xf numFmtId="0" fontId="122" fillId="5" borderId="0" xfId="17" applyFont="1" applyFill="1" applyBorder="1" applyAlignment="1">
      <alignment horizontal="left" vertical="center" wrapText="1"/>
    </xf>
    <xf numFmtId="0" fontId="122" fillId="0"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7" fillId="0" borderId="0" xfId="0" applyFont="1" applyAlignment="1"/>
    <xf numFmtId="0" fontId="121" fillId="5" borderId="0" xfId="17" applyFont="1" applyFill="1" applyBorder="1" applyAlignment="1">
      <alignment horizontal="left"/>
    </xf>
    <xf numFmtId="0" fontId="120" fillId="0" borderId="19" xfId="564" applyFont="1" applyFill="1" applyBorder="1" applyAlignment="1">
      <alignment horizontal="center"/>
    </xf>
    <xf numFmtId="0" fontId="119" fillId="5" borderId="0" xfId="17" applyFont="1" applyFill="1" applyBorder="1" applyAlignment="1">
      <alignment horizontal="center"/>
    </xf>
    <xf numFmtId="0" fontId="117" fillId="13" borderId="10" xfId="0" applyFont="1" applyFill="1" applyBorder="1" applyAlignment="1">
      <alignment wrapText="1"/>
    </xf>
    <xf numFmtId="0" fontId="125" fillId="0" borderId="0" xfId="0" applyFont="1" applyBorder="1" applyAlignment="1">
      <alignment vertical="center"/>
    </xf>
    <xf numFmtId="0" fontId="117" fillId="0" borderId="4" xfId="0" applyFont="1" applyBorder="1" applyAlignment="1">
      <alignment horizontal="center"/>
    </xf>
    <xf numFmtId="0" fontId="114" fillId="0" borderId="4" xfId="0" applyFont="1" applyBorder="1" applyAlignment="1">
      <alignment horizontal="center" wrapText="1"/>
    </xf>
    <xf numFmtId="0" fontId="114" fillId="0" borderId="4" xfId="0" applyFont="1" applyBorder="1" applyAlignment="1">
      <alignment horizontal="center" vertical="center"/>
    </xf>
    <xf numFmtId="0" fontId="125" fillId="0" borderId="0" xfId="0" applyFont="1" applyAlignment="1"/>
    <xf numFmtId="0" fontId="126" fillId="0" borderId="4" xfId="0" applyFont="1" applyFill="1" applyBorder="1" applyAlignment="1">
      <alignment horizontal="center" vertical="center" wrapText="1"/>
    </xf>
    <xf numFmtId="0" fontId="117" fillId="13" borderId="134" xfId="0" applyFont="1" applyFill="1" applyBorder="1" applyAlignment="1"/>
    <xf numFmtId="171" fontId="133" fillId="0" borderId="4" xfId="72" applyNumberFormat="1" applyFont="1" applyFill="1" applyBorder="1" applyAlignment="1">
      <alignment horizontal="center"/>
    </xf>
    <xf numFmtId="0" fontId="125" fillId="0" borderId="4" xfId="0" applyFont="1" applyBorder="1" applyAlignment="1">
      <alignment horizontal="center" vertical="center" wrapText="1"/>
    </xf>
    <xf numFmtId="0" fontId="114" fillId="0" borderId="4" xfId="0" applyFont="1" applyBorder="1" applyAlignment="1"/>
    <xf numFmtId="43" fontId="114" fillId="0" borderId="4" xfId="72" applyFont="1" applyBorder="1" applyAlignment="1"/>
    <xf numFmtId="46" fontId="117" fillId="0" borderId="4" xfId="0" applyNumberFormat="1" applyFont="1" applyBorder="1" applyAlignment="1"/>
    <xf numFmtId="43" fontId="123" fillId="0" borderId="4" xfId="0" applyNumberFormat="1" applyFont="1" applyBorder="1" applyAlignment="1">
      <alignment horizontal="justify" vertical="center" wrapText="1"/>
    </xf>
    <xf numFmtId="0" fontId="123" fillId="0" borderId="10" xfId="0" applyFont="1" applyBorder="1" applyAlignment="1">
      <alignment horizontal="justify" vertical="center" wrapText="1"/>
    </xf>
    <xf numFmtId="0" fontId="123" fillId="0" borderId="4" xfId="0" applyFont="1" applyBorder="1" applyAlignment="1">
      <alignment horizontal="right" vertical="center" wrapText="1"/>
    </xf>
    <xf numFmtId="43" fontId="123" fillId="0" borderId="4" xfId="72" applyFont="1" applyBorder="1" applyAlignment="1">
      <alignment horizontal="right" vertical="center" wrapText="1"/>
    </xf>
    <xf numFmtId="0" fontId="123" fillId="0" borderId="4" xfId="0" applyFont="1" applyBorder="1" applyAlignment="1">
      <alignment horizontal="center" wrapText="1"/>
    </xf>
    <xf numFmtId="43" fontId="117" fillId="0" borderId="4" xfId="72" applyFont="1" applyBorder="1" applyAlignment="1">
      <alignment vertical="center"/>
    </xf>
    <xf numFmtId="43" fontId="117" fillId="0" borderId="4" xfId="72" applyFont="1" applyBorder="1" applyAlignment="1">
      <alignment vertical="center" wrapText="1"/>
    </xf>
    <xf numFmtId="10" fontId="133" fillId="9" borderId="4" xfId="58" applyNumberFormat="1" applyFont="1" applyFill="1" applyBorder="1" applyAlignment="1">
      <alignment horizontal="center" vertical="center"/>
    </xf>
    <xf numFmtId="10" fontId="133" fillId="9" borderId="4" xfId="0" applyNumberFormat="1" applyFont="1" applyFill="1" applyBorder="1" applyAlignment="1">
      <alignment horizontal="center" vertical="center"/>
    </xf>
    <xf numFmtId="175" fontId="123" fillId="0" borderId="4" xfId="564" applyNumberFormat="1" applyFont="1" applyFill="1" applyBorder="1" applyAlignment="1">
      <alignment horizontal="center" vertical="center" wrapText="1"/>
    </xf>
    <xf numFmtId="43" fontId="123" fillId="0" borderId="4" xfId="72" applyFont="1" applyFill="1" applyBorder="1" applyAlignment="1">
      <alignment horizontal="center" vertical="center" wrapText="1"/>
    </xf>
    <xf numFmtId="43" fontId="123" fillId="9" borderId="4" xfId="72" applyFont="1" applyFill="1" applyBorder="1" applyAlignment="1">
      <alignment horizontal="center" wrapText="1"/>
    </xf>
    <xf numFmtId="43" fontId="123" fillId="9" borderId="4" xfId="72" applyFont="1" applyFill="1" applyBorder="1" applyAlignment="1">
      <alignment horizontal="center" vertical="center" wrapText="1"/>
    </xf>
    <xf numFmtId="43" fontId="123" fillId="9" borderId="4" xfId="72" applyFont="1" applyFill="1" applyBorder="1" applyAlignment="1">
      <alignment horizontal="justify" vertical="center"/>
    </xf>
    <xf numFmtId="43" fontId="125" fillId="0" borderId="4" xfId="0" applyNumberFormat="1" applyFont="1" applyFill="1" applyBorder="1" applyAlignment="1">
      <alignment vertical="center" wrapText="1"/>
    </xf>
    <xf numFmtId="43" fontId="125" fillId="0" borderId="4" xfId="0" applyNumberFormat="1" applyFont="1" applyFill="1" applyBorder="1" applyAlignment="1"/>
    <xf numFmtId="10" fontId="125" fillId="0" borderId="4" xfId="0" applyNumberFormat="1" applyFont="1" applyFill="1" applyBorder="1" applyAlignment="1">
      <alignment vertical="center" wrapText="1"/>
    </xf>
    <xf numFmtId="10" fontId="125" fillId="0" borderId="4" xfId="0" applyNumberFormat="1" applyFont="1" applyFill="1" applyBorder="1" applyAlignment="1"/>
    <xf numFmtId="43" fontId="125" fillId="0" borderId="133" xfId="0" applyNumberFormat="1" applyFont="1" applyFill="1" applyBorder="1" applyAlignment="1">
      <alignment vertical="center" wrapText="1"/>
    </xf>
    <xf numFmtId="43" fontId="125" fillId="0" borderId="133" xfId="72" applyFont="1" applyFill="1" applyBorder="1" applyAlignment="1"/>
    <xf numFmtId="43" fontId="125" fillId="0" borderId="133" xfId="0" applyNumberFormat="1" applyFont="1" applyFill="1" applyBorder="1" applyAlignment="1"/>
    <xf numFmtId="175" fontId="122" fillId="12" borderId="4" xfId="564" applyNumberFormat="1" applyFont="1" applyFill="1" applyBorder="1" applyAlignment="1">
      <alignment horizontal="center" wrapText="1"/>
    </xf>
    <xf numFmtId="43" fontId="126" fillId="0" borderId="4" xfId="72" applyFont="1" applyFill="1" applyBorder="1"/>
    <xf numFmtId="0" fontId="126" fillId="0" borderId="4" xfId="0" applyFont="1" applyFill="1" applyBorder="1" applyAlignment="1"/>
    <xf numFmtId="10" fontId="125" fillId="0" borderId="4" xfId="58" applyNumberFormat="1" applyFont="1" applyFill="1" applyBorder="1"/>
    <xf numFmtId="43" fontId="125" fillId="0" borderId="4" xfId="72" applyFont="1" applyFill="1" applyBorder="1"/>
    <xf numFmtId="0" fontId="114" fillId="0" borderId="147" xfId="0" applyFont="1" applyBorder="1"/>
    <xf numFmtId="0" fontId="114" fillId="0" borderId="0" xfId="0" applyFont="1" applyBorder="1"/>
    <xf numFmtId="0" fontId="114" fillId="0" borderId="0" xfId="0" applyFont="1"/>
    <xf numFmtId="0" fontId="114" fillId="0" borderId="4" xfId="0" applyFont="1" applyBorder="1" applyAlignment="1">
      <alignment wrapText="1"/>
    </xf>
    <xf numFmtId="0" fontId="114" fillId="0" borderId="133" xfId="0" applyFont="1" applyBorder="1"/>
    <xf numFmtId="204" fontId="117" fillId="0" borderId="0" xfId="58" applyNumberFormat="1" applyFont="1"/>
    <xf numFmtId="0" fontId="125" fillId="0" borderId="4" xfId="0" applyFont="1" applyFill="1" applyBorder="1" applyAlignment="1">
      <alignment vertical="center"/>
    </xf>
    <xf numFmtId="171" fontId="125" fillId="0" borderId="4" xfId="72" applyNumberFormat="1" applyFont="1" applyFill="1" applyBorder="1" applyAlignment="1">
      <alignment vertical="center"/>
    </xf>
    <xf numFmtId="206" fontId="125" fillId="0" borderId="4" xfId="72" applyNumberFormat="1" applyFont="1" applyFill="1" applyBorder="1" applyAlignment="1">
      <alignment vertical="center"/>
    </xf>
    <xf numFmtId="0" fontId="123" fillId="0" borderId="19" xfId="0" applyFont="1" applyFill="1" applyBorder="1" applyAlignment="1">
      <alignment horizontal="center"/>
    </xf>
    <xf numFmtId="0" fontId="122" fillId="0" borderId="4" xfId="17" applyFont="1" applyFill="1" applyBorder="1" applyAlignment="1">
      <alignment horizontal="center"/>
    </xf>
    <xf numFmtId="171" fontId="123" fillId="0" borderId="4" xfId="72" applyNumberFormat="1" applyFont="1" applyFill="1" applyBorder="1" applyAlignment="1">
      <alignment vertical="center"/>
    </xf>
    <xf numFmtId="43" fontId="123" fillId="0" borderId="4" xfId="72" applyFont="1" applyFill="1" applyBorder="1" applyAlignment="1">
      <alignment horizontal="center"/>
    </xf>
    <xf numFmtId="0" fontId="123" fillId="0" borderId="0" xfId="0" applyFont="1" applyFill="1" applyAlignment="1">
      <alignment wrapText="1"/>
    </xf>
    <xf numFmtId="0" fontId="122" fillId="0" borderId="0" xfId="0" applyFont="1" applyFill="1" applyAlignment="1">
      <alignment horizontal="center"/>
    </xf>
    <xf numFmtId="0" fontId="123" fillId="0" borderId="11" xfId="0" applyFont="1" applyFill="1" applyBorder="1" applyAlignment="1"/>
    <xf numFmtId="0" fontId="123" fillId="0" borderId="15" xfId="0" applyFont="1" applyFill="1" applyBorder="1" applyAlignment="1"/>
    <xf numFmtId="0" fontId="123" fillId="0" borderId="19" xfId="0" applyFont="1" applyFill="1" applyBorder="1" applyAlignment="1"/>
    <xf numFmtId="0" fontId="123" fillId="0" borderId="27" xfId="0" applyFont="1" applyFill="1" applyBorder="1" applyAlignment="1"/>
    <xf numFmtId="0" fontId="123" fillId="0" borderId="20" xfId="0" applyFont="1" applyFill="1" applyBorder="1" applyAlignment="1"/>
    <xf numFmtId="0" fontId="123" fillId="0" borderId="10" xfId="0" applyFont="1" applyFill="1" applyBorder="1" applyAlignment="1"/>
    <xf numFmtId="43" fontId="120" fillId="0" borderId="4" xfId="72" applyFont="1" applyFill="1" applyBorder="1" applyAlignment="1">
      <alignment vertical="center" wrapText="1"/>
    </xf>
    <xf numFmtId="0" fontId="126" fillId="0" borderId="0" xfId="0" applyFont="1" applyAlignment="1"/>
    <xf numFmtId="0" fontId="122" fillId="0" borderId="0" xfId="17" applyFont="1" applyBorder="1" applyAlignment="1">
      <alignment horizontal="center"/>
    </xf>
    <xf numFmtId="0" fontId="123" fillId="0" borderId="19" xfId="17" applyFont="1" applyBorder="1" applyAlignment="1"/>
    <xf numFmtId="0" fontId="123" fillId="0" borderId="19" xfId="17" applyFont="1" applyBorder="1" applyAlignment="1">
      <alignment horizontal="right"/>
    </xf>
    <xf numFmtId="0" fontId="122" fillId="0" borderId="4" xfId="17" applyFont="1" applyBorder="1" applyAlignment="1">
      <alignment wrapText="1"/>
    </xf>
    <xf numFmtId="0" fontId="122" fillId="0" borderId="4" xfId="17" applyFont="1" applyBorder="1" applyAlignment="1">
      <alignment horizontal="center"/>
    </xf>
    <xf numFmtId="0" fontId="123" fillId="0" borderId="4" xfId="17" applyFont="1" applyBorder="1" applyAlignment="1">
      <alignment wrapText="1"/>
    </xf>
    <xf numFmtId="0" fontId="123" fillId="9" borderId="4" xfId="17" applyFont="1" applyFill="1" applyBorder="1" applyAlignment="1">
      <alignment wrapText="1"/>
    </xf>
    <xf numFmtId="0" fontId="122" fillId="0" borderId="4" xfId="17" applyFont="1" applyFill="1" applyBorder="1" applyAlignment="1">
      <alignment horizontal="right"/>
    </xf>
    <xf numFmtId="0" fontId="122" fillId="12" borderId="4" xfId="17" applyFont="1" applyFill="1" applyBorder="1" applyAlignment="1"/>
    <xf numFmtId="2" fontId="122" fillId="12" borderId="4" xfId="17" applyNumberFormat="1" applyFont="1" applyFill="1" applyBorder="1" applyAlignment="1"/>
    <xf numFmtId="2" fontId="134" fillId="12" borderId="4" xfId="17" applyNumberFormat="1" applyFont="1" applyFill="1" applyBorder="1" applyAlignment="1"/>
    <xf numFmtId="0" fontId="9" fillId="0" borderId="4" xfId="0" applyFont="1" applyBorder="1" applyAlignment="1">
      <alignment horizontal="center" vertical="center" wrapText="1"/>
    </xf>
    <xf numFmtId="0" fontId="9" fillId="0" borderId="4" xfId="0" applyFont="1" applyBorder="1" applyAlignment="1">
      <alignment vertical="center" wrapText="1"/>
    </xf>
    <xf numFmtId="0" fontId="150" fillId="9" borderId="0" xfId="0" applyFont="1" applyFill="1" applyBorder="1" applyAlignment="1">
      <alignment horizontal="left" vertical="top"/>
    </xf>
    <xf numFmtId="0" fontId="150" fillId="9" borderId="0" xfId="0" applyFont="1" applyFill="1" applyBorder="1"/>
    <xf numFmtId="0" fontId="153" fillId="0" borderId="11" xfId="0" applyFont="1" applyBorder="1"/>
    <xf numFmtId="0" fontId="150" fillId="9" borderId="11" xfId="0" applyFont="1" applyFill="1" applyBorder="1"/>
    <xf numFmtId="0" fontId="153" fillId="0" borderId="4" xfId="0" applyFont="1" applyBorder="1" applyAlignment="1">
      <alignment horizontal="center"/>
    </xf>
    <xf numFmtId="0" fontId="153" fillId="9" borderId="4" xfId="0" applyFont="1" applyFill="1" applyBorder="1" applyAlignment="1"/>
    <xf numFmtId="0" fontId="153" fillId="9" borderId="4" xfId="0" applyFont="1" applyFill="1" applyBorder="1" applyAlignment="1">
      <alignment horizontal="left"/>
    </xf>
    <xf numFmtId="0" fontId="153" fillId="0" borderId="0" xfId="0" applyFont="1" applyBorder="1" applyAlignment="1">
      <alignment horizontal="center"/>
    </xf>
    <xf numFmtId="0" fontId="153" fillId="9" borderId="0" xfId="0" applyFont="1" applyFill="1" applyBorder="1"/>
    <xf numFmtId="0" fontId="153" fillId="9" borderId="0" xfId="0" applyFont="1" applyFill="1" applyBorder="1" applyAlignment="1"/>
    <xf numFmtId="0" fontId="0" fillId="0" borderId="0" xfId="0" applyBorder="1"/>
    <xf numFmtId="0" fontId="157" fillId="0" borderId="0" xfId="0" applyFont="1" applyBorder="1"/>
    <xf numFmtId="0" fontId="125" fillId="0" borderId="0" xfId="0" applyFont="1" applyAlignment="1">
      <alignment horizontal="left" vertical="center"/>
    </xf>
    <xf numFmtId="0" fontId="126" fillId="0" borderId="0" xfId="0" applyFont="1" applyAlignment="1">
      <alignment horizontal="center" vertical="center"/>
    </xf>
    <xf numFmtId="0" fontId="126" fillId="0" borderId="0" xfId="0" applyFont="1" applyBorder="1" applyAlignment="1">
      <alignment horizontal="center" vertical="center"/>
    </xf>
    <xf numFmtId="0" fontId="126" fillId="0" borderId="0" xfId="0" applyFont="1" applyFill="1" applyAlignment="1">
      <alignment vertical="center"/>
    </xf>
    <xf numFmtId="0" fontId="126" fillId="0" borderId="4" xfId="0" applyFont="1" applyFill="1" applyBorder="1" applyAlignment="1">
      <alignment horizontal="left" vertical="center" wrapText="1"/>
    </xf>
    <xf numFmtId="0" fontId="126" fillId="0" borderId="4" xfId="0" applyFont="1" applyFill="1" applyBorder="1" applyAlignment="1">
      <alignment vertical="center" wrapText="1"/>
    </xf>
    <xf numFmtId="0" fontId="126" fillId="0" borderId="0" xfId="0" applyFont="1" applyBorder="1" applyAlignment="1">
      <alignment vertical="center" wrapText="1"/>
    </xf>
    <xf numFmtId="0" fontId="120" fillId="0" borderId="0" xfId="0" applyFont="1" applyFill="1" applyAlignment="1">
      <alignment vertical="center"/>
    </xf>
    <xf numFmtId="0" fontId="119" fillId="0" borderId="0" xfId="0" applyFont="1" applyFill="1" applyAlignment="1">
      <alignment vertical="center"/>
    </xf>
    <xf numFmtId="0" fontId="126" fillId="0" borderId="19" xfId="0" applyFont="1" applyBorder="1" applyAlignment="1">
      <alignment vertical="center"/>
    </xf>
    <xf numFmtId="43" fontId="119" fillId="12" borderId="28" xfId="72" applyFont="1" applyFill="1" applyBorder="1" applyAlignment="1"/>
    <xf numFmtId="43" fontId="0" fillId="0" borderId="4" xfId="72" applyFont="1" applyBorder="1" applyAlignment="1"/>
    <xf numFmtId="9" fontId="0" fillId="0" borderId="4" xfId="58" applyFont="1" applyBorder="1" applyAlignment="1"/>
    <xf numFmtId="43" fontId="0" fillId="0" borderId="4" xfId="72" applyFont="1" applyBorder="1" applyAlignment="1">
      <alignment vertical="center"/>
    </xf>
    <xf numFmtId="9" fontId="0" fillId="0" borderId="4" xfId="58" applyFont="1" applyBorder="1" applyAlignment="1">
      <alignment vertical="center"/>
    </xf>
    <xf numFmtId="43" fontId="0" fillId="0" borderId="4" xfId="0" applyNumberFormat="1" applyFont="1" applyBorder="1" applyAlignment="1"/>
    <xf numFmtId="43" fontId="0" fillId="0" borderId="4" xfId="72" applyFont="1" applyBorder="1" applyAlignment="1">
      <alignment horizontal="center"/>
    </xf>
    <xf numFmtId="43" fontId="0" fillId="0" borderId="4" xfId="72" applyFont="1" applyBorder="1" applyAlignment="1">
      <alignment horizontal="center" vertical="center"/>
    </xf>
    <xf numFmtId="0" fontId="157" fillId="0" borderId="0" xfId="503" applyFont="1" applyBorder="1" applyAlignment="1">
      <alignment vertical="top"/>
    </xf>
    <xf numFmtId="0" fontId="119" fillId="0" borderId="4" xfId="0" applyFont="1" applyFill="1" applyBorder="1" applyAlignment="1">
      <alignment horizontal="center" vertical="center" wrapText="1"/>
    </xf>
    <xf numFmtId="0" fontId="119" fillId="0" borderId="4" xfId="17" applyFont="1" applyFill="1" applyBorder="1" applyAlignment="1">
      <alignment horizontal="center" vertical="center" wrapText="1"/>
    </xf>
    <xf numFmtId="0" fontId="114" fillId="0" borderId="4" xfId="0" applyFont="1" applyBorder="1" applyAlignment="1">
      <alignment horizontal="center" vertical="center" wrapText="1"/>
    </xf>
    <xf numFmtId="0" fontId="125" fillId="0" borderId="0" xfId="0" applyFont="1" applyAlignment="1"/>
    <xf numFmtId="0" fontId="124" fillId="0" borderId="0" xfId="0" applyFont="1" applyFill="1" applyBorder="1" applyAlignment="1"/>
    <xf numFmtId="0" fontId="153" fillId="9" borderId="4" xfId="0" applyFont="1" applyFill="1" applyBorder="1" applyAlignment="1">
      <alignment horizontal="center"/>
    </xf>
    <xf numFmtId="0" fontId="0" fillId="0" borderId="4" xfId="0" applyFont="1" applyFill="1" applyBorder="1" applyAlignment="1">
      <alignment horizontal="center" vertical="center"/>
    </xf>
    <xf numFmtId="0" fontId="168" fillId="0" borderId="4" xfId="0" applyFont="1" applyFill="1" applyBorder="1" applyAlignment="1">
      <alignment horizontal="center" vertical="center"/>
    </xf>
    <xf numFmtId="0" fontId="126" fillId="0" borderId="4" xfId="0" applyFont="1" applyFill="1" applyBorder="1" applyAlignment="1">
      <alignment horizontal="center" vertical="center" wrapText="1"/>
    </xf>
    <xf numFmtId="0" fontId="173" fillId="0" borderId="4" xfId="0" applyFont="1" applyBorder="1" applyAlignment="1">
      <alignment horizontal="center" vertical="center"/>
    </xf>
    <xf numFmtId="10" fontId="153" fillId="9" borderId="4" xfId="58" applyNumberFormat="1" applyFont="1" applyFill="1" applyBorder="1" applyAlignment="1">
      <alignment horizontal="center"/>
    </xf>
    <xf numFmtId="43" fontId="125" fillId="0" borderId="4" xfId="885" applyFont="1" applyBorder="1" applyAlignment="1">
      <alignment wrapText="1"/>
    </xf>
    <xf numFmtId="1" fontId="126" fillId="0" borderId="4" xfId="72" applyNumberFormat="1" applyFont="1" applyFill="1" applyBorder="1"/>
    <xf numFmtId="1" fontId="125" fillId="0" borderId="4" xfId="0" applyNumberFormat="1" applyFont="1" applyBorder="1" applyAlignment="1"/>
    <xf numFmtId="10" fontId="120" fillId="0" borderId="4" xfId="58" applyNumberFormat="1" applyFont="1" applyFill="1" applyBorder="1" applyAlignment="1">
      <alignment horizontal="right" vertical="center"/>
    </xf>
    <xf numFmtId="0" fontId="126" fillId="0" borderId="4" xfId="0" applyFont="1" applyBorder="1" applyAlignment="1">
      <alignment vertical="top"/>
    </xf>
    <xf numFmtId="43" fontId="120" fillId="0" borderId="0" xfId="0" applyNumberFormat="1" applyFont="1" applyFill="1" applyBorder="1" applyAlignment="1">
      <alignment horizontal="center"/>
    </xf>
    <xf numFmtId="0" fontId="0" fillId="9" borderId="4" xfId="0" applyFont="1" applyFill="1" applyBorder="1" applyAlignment="1">
      <alignment horizontal="center" vertical="center"/>
    </xf>
    <xf numFmtId="0" fontId="9" fillId="9" borderId="4" xfId="0" applyFont="1" applyFill="1" applyBorder="1" applyAlignment="1">
      <alignment horizontal="center" vertical="center"/>
    </xf>
    <xf numFmtId="0" fontId="0" fillId="67" borderId="4" xfId="0" applyFont="1" applyFill="1" applyBorder="1" applyAlignment="1">
      <alignment horizontal="center" vertical="center"/>
    </xf>
    <xf numFmtId="0" fontId="9" fillId="67" borderId="4" xfId="0" applyFont="1" applyFill="1" applyBorder="1" applyAlignment="1">
      <alignment horizontal="center" vertical="center"/>
    </xf>
    <xf numFmtId="0" fontId="0" fillId="0" borderId="4" xfId="0" applyFont="1" applyBorder="1" applyAlignment="1">
      <alignment horizontal="center"/>
    </xf>
    <xf numFmtId="0" fontId="168" fillId="67" borderId="4" xfId="0" applyFont="1" applyFill="1" applyBorder="1" applyAlignment="1">
      <alignment horizontal="center" vertical="center"/>
    </xf>
    <xf numFmtId="0" fontId="0" fillId="0" borderId="133" xfId="0" applyFont="1" applyBorder="1" applyAlignment="1">
      <alignment horizontal="center" vertical="center"/>
    </xf>
    <xf numFmtId="0" fontId="10" fillId="0" borderId="4" xfId="0" applyFont="1" applyBorder="1" applyAlignment="1">
      <alignment horizontal="center" vertical="center"/>
    </xf>
    <xf numFmtId="0" fontId="0" fillId="0" borderId="4" xfId="0" applyBorder="1" applyAlignment="1">
      <alignment horizontal="center" vertical="center"/>
    </xf>
    <xf numFmtId="0" fontId="0" fillId="0" borderId="4" xfId="0" applyFont="1" applyFill="1" applyBorder="1" applyAlignment="1">
      <alignment horizontal="center"/>
    </xf>
    <xf numFmtId="0" fontId="176" fillId="0" borderId="4" xfId="0" applyFont="1" applyBorder="1" applyAlignment="1">
      <alignment horizontal="center" vertical="center"/>
    </xf>
    <xf numFmtId="2" fontId="123" fillId="0" borderId="4" xfId="0" applyNumberFormat="1" applyFont="1" applyBorder="1" applyAlignment="1">
      <alignment horizontal="right" vertical="center" wrapText="1"/>
    </xf>
    <xf numFmtId="0" fontId="121" fillId="8" borderId="0" xfId="0" applyFont="1" applyFill="1" applyBorder="1" applyAlignment="1"/>
    <xf numFmtId="0" fontId="117" fillId="8" borderId="0" xfId="0" applyFont="1" applyFill="1" applyAlignment="1"/>
    <xf numFmtId="0" fontId="121" fillId="8" borderId="0" xfId="17" applyFont="1" applyFill="1" applyBorder="1" applyAlignment="1"/>
    <xf numFmtId="0" fontId="122" fillId="8" borderId="0" xfId="17" applyFont="1" applyFill="1" applyBorder="1" applyAlignment="1">
      <alignment horizontal="right"/>
    </xf>
    <xf numFmtId="0" fontId="117" fillId="8" borderId="0" xfId="0" applyFont="1" applyFill="1" applyBorder="1" applyAlignment="1"/>
    <xf numFmtId="2" fontId="121" fillId="8" borderId="0" xfId="17" applyNumberFormat="1" applyFont="1" applyFill="1" applyBorder="1" applyAlignment="1"/>
    <xf numFmtId="0" fontId="122" fillId="8" borderId="0" xfId="564" applyFont="1" applyFill="1" applyBorder="1" applyAlignment="1">
      <alignment horizontal="center" wrapText="1"/>
    </xf>
    <xf numFmtId="49" fontId="122" fillId="8" borderId="0" xfId="0" applyNumberFormat="1" applyFont="1" applyFill="1" applyBorder="1" applyAlignment="1">
      <alignment wrapText="1"/>
    </xf>
    <xf numFmtId="0" fontId="123" fillId="8" borderId="4" xfId="0" applyFont="1" applyFill="1" applyBorder="1" applyAlignment="1"/>
    <xf numFmtId="175" fontId="122" fillId="8" borderId="0" xfId="0" applyNumberFormat="1" applyFont="1" applyFill="1" applyBorder="1" applyAlignment="1">
      <alignment horizontal="center" wrapText="1"/>
    </xf>
    <xf numFmtId="175" fontId="117" fillId="8" borderId="0" xfId="0" applyNumberFormat="1" applyFont="1" applyFill="1" applyBorder="1" applyAlignment="1">
      <alignment horizontal="center"/>
    </xf>
    <xf numFmtId="2" fontId="123" fillId="8" borderId="0" xfId="0" applyNumberFormat="1" applyFont="1" applyFill="1" applyAlignment="1"/>
    <xf numFmtId="0" fontId="123" fillId="8" borderId="0" xfId="0" applyFont="1" applyFill="1" applyAlignment="1"/>
    <xf numFmtId="0" fontId="123" fillId="8" borderId="0" xfId="0" applyFont="1" applyFill="1" applyAlignment="1">
      <alignment horizontal="center" vertical="center"/>
    </xf>
    <xf numFmtId="0" fontId="123" fillId="8" borderId="0" xfId="0" applyFont="1" applyFill="1" applyBorder="1" applyAlignment="1">
      <alignment horizontal="center"/>
    </xf>
    <xf numFmtId="0" fontId="123" fillId="8" borderId="0" xfId="0" applyFont="1" applyFill="1" applyAlignment="1">
      <alignment horizontal="center"/>
    </xf>
    <xf numFmtId="0" fontId="123" fillId="8" borderId="0" xfId="0" applyFont="1" applyFill="1" applyBorder="1" applyAlignment="1"/>
    <xf numFmtId="2" fontId="123" fillId="8" borderId="0" xfId="0" applyNumberFormat="1" applyFont="1" applyFill="1" applyBorder="1" applyAlignment="1"/>
    <xf numFmtId="0" fontId="123" fillId="8" borderId="4" xfId="0" applyFont="1" applyFill="1" applyBorder="1" applyAlignment="1">
      <alignment horizontal="center"/>
    </xf>
    <xf numFmtId="0" fontId="123" fillId="8" borderId="11" xfId="0" applyFont="1" applyFill="1" applyBorder="1" applyAlignment="1">
      <alignment horizontal="center"/>
    </xf>
    <xf numFmtId="0" fontId="123" fillId="8" borderId="11" xfId="0" applyFont="1" applyFill="1" applyBorder="1" applyAlignment="1">
      <alignment wrapText="1"/>
    </xf>
    <xf numFmtId="2" fontId="123" fillId="8" borderId="24" xfId="0" applyNumberFormat="1" applyFont="1" applyFill="1" applyBorder="1" applyAlignment="1"/>
    <xf numFmtId="2" fontId="123" fillId="8" borderId="25" xfId="0" applyNumberFormat="1" applyFont="1" applyFill="1" applyBorder="1" applyAlignment="1"/>
    <xf numFmtId="0" fontId="123" fillId="8" borderId="10" xfId="0" applyFont="1" applyFill="1" applyBorder="1" applyAlignment="1">
      <alignment wrapText="1"/>
    </xf>
    <xf numFmtId="2" fontId="123" fillId="8" borderId="10" xfId="0" applyNumberFormat="1" applyFont="1" applyFill="1" applyBorder="1" applyAlignment="1"/>
    <xf numFmtId="2" fontId="123" fillId="8" borderId="134" xfId="0" applyNumberFormat="1" applyFont="1" applyFill="1" applyBorder="1" applyAlignment="1"/>
    <xf numFmtId="2" fontId="123" fillId="8" borderId="20" xfId="0" applyNumberFormat="1" applyFont="1" applyFill="1" applyBorder="1" applyAlignment="1"/>
    <xf numFmtId="0" fontId="123" fillId="8" borderId="4" xfId="0" applyFont="1" applyFill="1" applyBorder="1" applyAlignment="1">
      <alignment wrapText="1"/>
    </xf>
    <xf numFmtId="0" fontId="0" fillId="8" borderId="0" xfId="0" applyFont="1" applyFill="1" applyAlignment="1"/>
    <xf numFmtId="0" fontId="132" fillId="8" borderId="0" xfId="0" applyFont="1" applyFill="1" applyBorder="1" applyAlignment="1"/>
    <xf numFmtId="0" fontId="122" fillId="8" borderId="0" xfId="17" applyFont="1" applyFill="1" applyBorder="1" applyAlignment="1">
      <alignment horizontal="center"/>
    </xf>
    <xf numFmtId="43" fontId="125" fillId="9" borderId="4" xfId="72" applyFont="1" applyFill="1" applyBorder="1" applyAlignment="1">
      <alignment vertical="center" wrapText="1"/>
    </xf>
    <xf numFmtId="0" fontId="125" fillId="9" borderId="4" xfId="0" applyFont="1" applyFill="1" applyBorder="1" applyAlignment="1">
      <alignment vertical="center" wrapText="1"/>
    </xf>
    <xf numFmtId="0" fontId="125" fillId="9" borderId="4" xfId="0" applyFont="1" applyFill="1" applyBorder="1" applyAlignment="1"/>
    <xf numFmtId="43" fontId="125" fillId="9" borderId="4" xfId="0" applyNumberFormat="1" applyFont="1" applyFill="1" applyBorder="1" applyAlignment="1">
      <alignment vertical="center" wrapText="1"/>
    </xf>
    <xf numFmtId="0" fontId="177" fillId="0" borderId="0" xfId="0" applyFont="1"/>
    <xf numFmtId="17" fontId="125" fillId="0" borderId="0" xfId="0" applyNumberFormat="1" applyFont="1" applyAlignment="1">
      <alignment horizontal="center" vertical="center"/>
    </xf>
    <xf numFmtId="0" fontId="177" fillId="0" borderId="0" xfId="0" applyFont="1" applyAlignment="1">
      <alignment horizontal="center" vertical="center"/>
    </xf>
    <xf numFmtId="17" fontId="0" fillId="0" borderId="0" xfId="0" applyNumberFormat="1"/>
    <xf numFmtId="4" fontId="178" fillId="0" borderId="0" xfId="0" applyNumberFormat="1" applyFont="1"/>
    <xf numFmtId="0" fontId="178" fillId="0" borderId="0" xfId="0" applyFont="1"/>
    <xf numFmtId="43" fontId="125" fillId="0" borderId="0" xfId="0" applyNumberFormat="1" applyFont="1" applyAlignment="1">
      <alignment vertical="center"/>
    </xf>
    <xf numFmtId="43" fontId="120" fillId="0" borderId="0" xfId="72" applyFont="1" applyFill="1" applyBorder="1" applyAlignment="1">
      <alignment horizontal="left"/>
    </xf>
    <xf numFmtId="43" fontId="120" fillId="0" borderId="0" xfId="72" applyFont="1" applyFill="1" applyBorder="1" applyAlignment="1">
      <alignment horizontal="left" vertical="center"/>
    </xf>
    <xf numFmtId="43" fontId="120" fillId="8" borderId="0" xfId="72" applyFont="1" applyFill="1" applyBorder="1" applyAlignment="1">
      <alignment horizontal="left"/>
    </xf>
    <xf numFmtId="0" fontId="125" fillId="0" borderId="0" xfId="0" applyFont="1" applyAlignment="1"/>
    <xf numFmtId="0" fontId="122" fillId="0" borderId="4" xfId="0" applyFont="1" applyFill="1" applyBorder="1" applyAlignment="1">
      <alignment horizontal="center" vertical="center" wrapText="1"/>
    </xf>
    <xf numFmtId="0" fontId="117" fillId="13" borderId="10" xfId="0" applyFont="1" applyFill="1" applyBorder="1" applyAlignment="1"/>
    <xf numFmtId="0" fontId="117" fillId="0" borderId="0" xfId="0" applyFont="1" applyAlignment="1"/>
    <xf numFmtId="0" fontId="117" fillId="13" borderId="15" xfId="0" applyFont="1" applyFill="1" applyBorder="1" applyAlignment="1"/>
    <xf numFmtId="10" fontId="179" fillId="0" borderId="140" xfId="0" applyNumberFormat="1" applyFont="1" applyBorder="1" applyAlignment="1">
      <alignment horizontal="justify" vertical="center" wrapText="1"/>
    </xf>
    <xf numFmtId="10" fontId="120" fillId="0" borderId="4" xfId="56" applyNumberFormat="1" applyFont="1" applyBorder="1" applyAlignment="1">
      <alignment horizontal="center" vertical="center" wrapText="1"/>
    </xf>
    <xf numFmtId="0" fontId="120" fillId="0" borderId="11" xfId="56" applyFont="1" applyBorder="1" applyAlignment="1">
      <alignment vertical="center"/>
    </xf>
    <xf numFmtId="0" fontId="119" fillId="0" borderId="19" xfId="17" applyFont="1" applyFill="1" applyBorder="1" applyAlignment="1">
      <alignment horizontal="left" vertical="center"/>
    </xf>
    <xf numFmtId="0" fontId="126" fillId="0" borderId="4" xfId="0" applyFont="1" applyBorder="1" applyAlignment="1">
      <alignment horizontal="center" vertical="center" wrapText="1"/>
    </xf>
    <xf numFmtId="0" fontId="125" fillId="0" borderId="0" xfId="0" applyFont="1" applyAlignment="1"/>
    <xf numFmtId="0" fontId="119" fillId="9" borderId="10" xfId="17" applyFont="1" applyFill="1" applyBorder="1" applyAlignment="1">
      <alignment horizontal="center" vertical="center" wrapText="1"/>
    </xf>
    <xf numFmtId="0" fontId="119" fillId="0" borderId="4" xfId="17" applyFont="1" applyFill="1" applyBorder="1" applyAlignment="1">
      <alignment horizontal="center" vertical="center" wrapText="1"/>
    </xf>
    <xf numFmtId="0" fontId="124" fillId="0" borderId="0" xfId="0" applyFont="1" applyFill="1" applyBorder="1" applyAlignment="1">
      <alignment horizontal="left" vertical="center"/>
    </xf>
    <xf numFmtId="0" fontId="119" fillId="5" borderId="0" xfId="17" applyFont="1" applyFill="1" applyBorder="1" applyAlignment="1">
      <alignment horizontal="center"/>
    </xf>
    <xf numFmtId="0" fontId="120" fillId="0" borderId="0" xfId="564" applyFont="1" applyFill="1" applyBorder="1" applyAlignment="1">
      <alignment horizontal="center"/>
    </xf>
    <xf numFmtId="0" fontId="125" fillId="0" borderId="0" xfId="0" applyFont="1" applyAlignment="1"/>
    <xf numFmtId="0" fontId="124" fillId="0" borderId="0" xfId="0" applyFont="1" applyFill="1" applyBorder="1" applyAlignment="1"/>
    <xf numFmtId="0" fontId="126" fillId="0" borderId="4" xfId="0" applyFont="1" applyFill="1" applyBorder="1" applyAlignment="1">
      <alignment horizontal="center" vertical="center" wrapText="1"/>
    </xf>
    <xf numFmtId="0" fontId="125" fillId="0" borderId="0" xfId="0" applyFont="1" applyAlignment="1">
      <alignment horizontal="center"/>
    </xf>
    <xf numFmtId="0" fontId="124" fillId="0" borderId="0" xfId="17" applyFont="1" applyFill="1" applyBorder="1" applyAlignment="1">
      <alignment horizontal="left" vertical="center"/>
    </xf>
    <xf numFmtId="0" fontId="119" fillId="0" borderId="0" xfId="17" applyFont="1" applyFill="1" applyBorder="1" applyAlignment="1">
      <alignment horizontal="center" vertical="center" wrapText="1"/>
    </xf>
    <xf numFmtId="0" fontId="126" fillId="0" borderId="0" xfId="0" applyFont="1" applyBorder="1" applyAlignment="1">
      <alignment horizontal="left"/>
    </xf>
    <xf numFmtId="0" fontId="161" fillId="0" borderId="0" xfId="0" applyFont="1" applyBorder="1" applyAlignment="1">
      <alignment horizontal="left"/>
    </xf>
    <xf numFmtId="0" fontId="114" fillId="0" borderId="0" xfId="0" applyFont="1" applyAlignment="1">
      <alignment horizontal="left" vertical="center" wrapText="1"/>
    </xf>
    <xf numFmtId="0" fontId="122" fillId="0" borderId="4" xfId="0" applyFont="1" applyFill="1" applyBorder="1" applyAlignment="1">
      <alignment horizontal="center" vertical="center" wrapText="1"/>
    </xf>
    <xf numFmtId="0" fontId="122" fillId="0" borderId="0" xfId="17" applyFont="1" applyFill="1" applyBorder="1" applyAlignment="1">
      <alignment horizontal="center" vertical="center" wrapText="1"/>
    </xf>
    <xf numFmtId="0" fontId="122" fillId="0" borderId="19" xfId="17" applyFont="1" applyFill="1" applyBorder="1" applyAlignment="1">
      <alignment horizontal="center" vertical="center" wrapText="1"/>
    </xf>
    <xf numFmtId="0" fontId="117" fillId="0" borderId="0" xfId="0" applyFont="1" applyAlignment="1"/>
    <xf numFmtId="0" fontId="119" fillId="5" borderId="0" xfId="17" applyFont="1" applyFill="1" applyBorder="1" applyAlignment="1">
      <alignment horizontal="center" vertical="center"/>
    </xf>
    <xf numFmtId="0" fontId="122" fillId="9" borderId="11" xfId="17" applyFont="1" applyFill="1" applyBorder="1" applyAlignment="1">
      <alignment horizontal="center" vertical="center" wrapText="1"/>
    </xf>
    <xf numFmtId="0" fontId="126" fillId="0" borderId="0" xfId="0" applyFont="1" applyAlignment="1">
      <alignment horizontal="center"/>
    </xf>
    <xf numFmtId="0" fontId="125" fillId="0" borderId="0" xfId="0" applyFont="1" applyBorder="1" applyAlignment="1">
      <alignment vertical="center"/>
    </xf>
    <xf numFmtId="0" fontId="125" fillId="0" borderId="0" xfId="0" applyFont="1" applyAlignment="1"/>
    <xf numFmtId="0" fontId="119" fillId="9" borderId="4" xfId="17" applyFont="1" applyFill="1" applyBorder="1" applyAlignment="1">
      <alignment horizontal="center" vertical="center"/>
    </xf>
    <xf numFmtId="43" fontId="120" fillId="9" borderId="4" xfId="72" applyFont="1" applyFill="1" applyBorder="1" applyAlignment="1">
      <alignment vertical="center"/>
    </xf>
    <xf numFmtId="0" fontId="120" fillId="9" borderId="4" xfId="564" applyFont="1" applyFill="1" applyBorder="1" applyAlignment="1">
      <alignment horizontal="center"/>
    </xf>
    <xf numFmtId="43" fontId="120" fillId="9" borderId="4" xfId="72" applyFont="1" applyFill="1" applyBorder="1" applyAlignment="1">
      <alignment horizontal="center" vertical="center" wrapText="1"/>
    </xf>
    <xf numFmtId="0" fontId="120" fillId="9" borderId="4" xfId="0" applyFont="1" applyFill="1" applyBorder="1" applyAlignment="1"/>
    <xf numFmtId="2" fontId="120" fillId="9" borderId="4" xfId="2679" applyNumberFormat="1" applyFont="1" applyFill="1" applyBorder="1" applyAlignment="1">
      <alignment horizontal="right"/>
    </xf>
    <xf numFmtId="0" fontId="120" fillId="9" borderId="4" xfId="564" applyFont="1" applyFill="1" applyBorder="1" applyAlignment="1"/>
    <xf numFmtId="2" fontId="119" fillId="9" borderId="4" xfId="564" applyNumberFormat="1" applyFont="1" applyFill="1" applyBorder="1" applyAlignment="1"/>
    <xf numFmtId="0" fontId="120" fillId="9" borderId="4" xfId="564" applyFont="1" applyFill="1" applyBorder="1" applyAlignment="1">
      <alignment horizontal="left" wrapText="1"/>
    </xf>
    <xf numFmtId="0" fontId="119" fillId="0" borderId="0" xfId="0" applyFont="1" applyFill="1" applyBorder="1" applyAlignment="1">
      <alignment horizontal="center"/>
    </xf>
    <xf numFmtId="0" fontId="126" fillId="9" borderId="4" xfId="0" applyFont="1" applyFill="1" applyBorder="1"/>
    <xf numFmtId="0" fontId="120" fillId="0" borderId="0" xfId="17" applyFont="1" applyFill="1" applyBorder="1" applyAlignment="1">
      <alignment horizontal="center"/>
    </xf>
    <xf numFmtId="0" fontId="114" fillId="0" borderId="0" xfId="0" applyFont="1" applyBorder="1" applyAlignment="1">
      <alignment vertical="center" wrapText="1"/>
    </xf>
    <xf numFmtId="0" fontId="119" fillId="0" borderId="4" xfId="17" applyFont="1" applyFill="1" applyBorder="1" applyAlignment="1">
      <alignment horizontal="center" vertical="center" wrapText="1"/>
    </xf>
    <xf numFmtId="0" fontId="125" fillId="0" borderId="0" xfId="0" applyFont="1" applyAlignment="1"/>
    <xf numFmtId="0" fontId="114" fillId="0" borderId="4" xfId="0" applyFont="1" applyBorder="1" applyAlignment="1">
      <alignment horizontal="center" vertical="center" wrapText="1"/>
    </xf>
    <xf numFmtId="0" fontId="117" fillId="0" borderId="0" xfId="0" applyFont="1" applyAlignment="1"/>
    <xf numFmtId="0" fontId="117" fillId="0" borderId="4" xfId="0" applyFont="1" applyBorder="1" applyAlignment="1">
      <alignment horizontal="center"/>
    </xf>
    <xf numFmtId="43" fontId="120" fillId="9" borderId="4" xfId="72" applyFont="1" applyFill="1" applyBorder="1" applyAlignment="1">
      <alignment horizontal="left" vertical="center"/>
    </xf>
    <xf numFmtId="43" fontId="120" fillId="9" borderId="4" xfId="72" applyFont="1" applyFill="1" applyBorder="1" applyAlignment="1">
      <alignment horizontal="center"/>
    </xf>
    <xf numFmtId="0" fontId="119" fillId="0" borderId="4" xfId="17" applyFont="1" applyFill="1" applyBorder="1" applyAlignment="1">
      <alignment horizontal="center" vertical="center" wrapText="1"/>
    </xf>
    <xf numFmtId="0" fontId="122" fillId="0" borderId="4" xfId="564" applyFont="1" applyFill="1" applyBorder="1" applyAlignment="1">
      <alignment horizontal="center" vertical="center" wrapText="1"/>
    </xf>
    <xf numFmtId="0" fontId="125" fillId="0" borderId="0" xfId="0" applyFont="1" applyAlignment="1"/>
    <xf numFmtId="0" fontId="117" fillId="0" borderId="0" xfId="0" applyFont="1" applyBorder="1" applyAlignment="1">
      <alignment horizontal="left" vertical="center"/>
    </xf>
    <xf numFmtId="0" fontId="114" fillId="9" borderId="4" xfId="0" applyFont="1" applyFill="1" applyBorder="1" applyAlignment="1">
      <alignment horizontal="center" vertical="center" wrapText="1"/>
    </xf>
    <xf numFmtId="0" fontId="125" fillId="8" borderId="4" xfId="0" applyFont="1" applyFill="1" applyBorder="1" applyAlignment="1">
      <alignment vertical="center" wrapText="1"/>
    </xf>
    <xf numFmtId="10" fontId="125" fillId="0" borderId="4" xfId="58" applyNumberFormat="1" applyFont="1" applyBorder="1" applyAlignment="1">
      <alignment horizontal="center" vertical="top"/>
    </xf>
    <xf numFmtId="0" fontId="122" fillId="0" borderId="4" xfId="0" applyFont="1" applyFill="1" applyBorder="1" applyAlignment="1">
      <alignment horizontal="center" vertical="center" wrapText="1"/>
    </xf>
    <xf numFmtId="0" fontId="126" fillId="0" borderId="133" xfId="0" applyFont="1" applyBorder="1" applyAlignment="1">
      <alignment horizontal="center" vertical="center"/>
    </xf>
    <xf numFmtId="0" fontId="126" fillId="0" borderId="4" xfId="0" applyFont="1" applyBorder="1" applyAlignment="1">
      <alignment horizontal="center" vertical="center" wrapText="1"/>
    </xf>
    <xf numFmtId="0" fontId="113" fillId="0" borderId="4" xfId="0" applyFont="1" applyBorder="1" applyAlignment="1">
      <alignment horizontal="center" vertical="center" wrapText="1"/>
    </xf>
    <xf numFmtId="0" fontId="113" fillId="0" borderId="4" xfId="0" applyFont="1" applyBorder="1" applyAlignment="1">
      <alignment horizontal="center"/>
    </xf>
    <xf numFmtId="0" fontId="113" fillId="0" borderId="4" xfId="0" applyFont="1" applyBorder="1" applyAlignment="1">
      <alignment horizontal="center" wrapText="1"/>
    </xf>
    <xf numFmtId="0" fontId="113" fillId="0" borderId="4" xfId="0" applyFont="1" applyBorder="1" applyAlignment="1">
      <alignment horizontal="center" vertical="top" wrapText="1"/>
    </xf>
    <xf numFmtId="0" fontId="113" fillId="0" borderId="4" xfId="0" applyFont="1" applyBorder="1"/>
    <xf numFmtId="0" fontId="115" fillId="0" borderId="4" xfId="0" applyFont="1" applyBorder="1"/>
    <xf numFmtId="0" fontId="125" fillId="0" borderId="0" xfId="0" applyFont="1" applyAlignment="1"/>
    <xf numFmtId="0" fontId="183" fillId="0" borderId="0" xfId="4200" applyFont="1" applyAlignment="1"/>
    <xf numFmtId="2" fontId="182" fillId="66" borderId="4" xfId="4199" applyNumberFormat="1" applyFont="1" applyFill="1" applyBorder="1" applyAlignment="1">
      <alignment horizontal="center" vertical="center"/>
    </xf>
    <xf numFmtId="2" fontId="182" fillId="13" borderId="4" xfId="4199" applyNumberFormat="1" applyFont="1" applyFill="1" applyBorder="1" applyAlignment="1">
      <alignment horizontal="center" vertical="center"/>
    </xf>
    <xf numFmtId="2" fontId="154" fillId="0" borderId="4" xfId="4199" applyNumberFormat="1" applyFont="1" applyBorder="1" applyAlignment="1">
      <alignment vertical="center"/>
    </xf>
    <xf numFmtId="2" fontId="184" fillId="0" borderId="4" xfId="4203" applyNumberFormat="1" applyFont="1" applyBorder="1"/>
    <xf numFmtId="2" fontId="18" fillId="0" borderId="4" xfId="4204" applyNumberFormat="1" applyFont="1" applyBorder="1"/>
    <xf numFmtId="2" fontId="185" fillId="0" borderId="4" xfId="4200" applyNumberFormat="1" applyFont="1" applyBorder="1" applyAlignment="1"/>
    <xf numFmtId="2" fontId="154" fillId="0" borderId="4" xfId="4199" applyNumberFormat="1" applyFont="1" applyBorder="1" applyAlignment="1">
      <alignment vertical="center" wrapText="1"/>
    </xf>
    <xf numFmtId="2" fontId="154" fillId="0" borderId="4" xfId="4203" applyNumberFormat="1" applyFont="1" applyBorder="1"/>
    <xf numFmtId="2" fontId="152" fillId="0" borderId="4" xfId="4205" applyNumberFormat="1" applyFont="1" applyBorder="1"/>
    <xf numFmtId="2" fontId="184" fillId="0" borderId="4" xfId="4206" applyNumberFormat="1" applyFont="1" applyBorder="1" applyAlignment="1"/>
    <xf numFmtId="2" fontId="184" fillId="0" borderId="4" xfId="4200" applyNumberFormat="1" applyFont="1" applyBorder="1" applyAlignment="1"/>
    <xf numFmtId="2" fontId="18" fillId="0" borderId="4" xfId="4203" applyNumberFormat="1" applyFont="1" applyBorder="1"/>
    <xf numFmtId="1" fontId="182" fillId="0" borderId="4" xfId="4199" applyNumberFormat="1" applyFont="1" applyBorder="1" applyAlignment="1">
      <alignment vertical="center" wrapText="1"/>
    </xf>
    <xf numFmtId="2" fontId="186" fillId="0" borderId="4" xfId="4200" applyNumberFormat="1" applyFont="1" applyBorder="1" applyAlignment="1"/>
    <xf numFmtId="2" fontId="182" fillId="0" borderId="4" xfId="4199" applyNumberFormat="1" applyFont="1" applyBorder="1" applyAlignment="1">
      <alignment vertical="center" wrapText="1"/>
    </xf>
    <xf numFmtId="0" fontId="187" fillId="0" borderId="0" xfId="4200" applyFont="1" applyAlignment="1"/>
    <xf numFmtId="10" fontId="150" fillId="0" borderId="0" xfId="4207" applyNumberFormat="1" applyFont="1" applyAlignment="1"/>
    <xf numFmtId="0" fontId="183" fillId="67" borderId="0" xfId="4200" applyFont="1" applyFill="1" applyAlignment="1"/>
    <xf numFmtId="2" fontId="183" fillId="67" borderId="0" xfId="4200" applyNumberFormat="1" applyFont="1" applyFill="1" applyAlignment="1"/>
    <xf numFmtId="0" fontId="188" fillId="67" borderId="0" xfId="4200" applyFont="1" applyFill="1" applyAlignment="1"/>
    <xf numFmtId="10" fontId="183" fillId="0" borderId="0" xfId="4208" applyNumberFormat="1" applyFont="1"/>
    <xf numFmtId="10" fontId="183" fillId="67" borderId="0" xfId="4208" applyNumberFormat="1" applyFont="1" applyFill="1"/>
    <xf numFmtId="10" fontId="183" fillId="67" borderId="0" xfId="4207" applyNumberFormat="1" applyFont="1" applyFill="1" applyAlignment="1"/>
    <xf numFmtId="169" fontId="11" fillId="0" borderId="0" xfId="4205" applyNumberFormat="1"/>
    <xf numFmtId="2" fontId="183" fillId="0" borderId="0" xfId="4200" applyNumberFormat="1" applyFont="1" applyAlignment="1"/>
    <xf numFmtId="2" fontId="164" fillId="0" borderId="0" xfId="4200" applyNumberFormat="1" applyAlignment="1"/>
    <xf numFmtId="165" fontId="183" fillId="0" borderId="0" xfId="4209" applyFont="1"/>
    <xf numFmtId="10" fontId="183" fillId="67" borderId="0" xfId="4200" applyNumberFormat="1" applyFont="1" applyFill="1" applyAlignment="1"/>
    <xf numFmtId="10" fontId="183" fillId="0" borderId="0" xfId="4200" applyNumberFormat="1" applyFont="1" applyAlignment="1"/>
    <xf numFmtId="10" fontId="188" fillId="67" borderId="0" xfId="4208" applyNumberFormat="1" applyFont="1" applyFill="1"/>
    <xf numFmtId="0" fontId="189" fillId="0" borderId="0" xfId="4200" applyFont="1" applyAlignment="1">
      <alignment horizontal="right" vertical="center" wrapText="1"/>
    </xf>
    <xf numFmtId="10" fontId="183" fillId="0" borderId="0" xfId="4207" applyNumberFormat="1" applyFont="1" applyBorder="1" applyAlignment="1"/>
    <xf numFmtId="10" fontId="183" fillId="0" borderId="0" xfId="4207" applyNumberFormat="1" applyFont="1" applyAlignment="1"/>
    <xf numFmtId="208" fontId="125" fillId="0" borderId="4" xfId="72" applyNumberFormat="1" applyFont="1" applyBorder="1" applyAlignment="1">
      <alignment wrapText="1"/>
    </xf>
    <xf numFmtId="43" fontId="125" fillId="9" borderId="4" xfId="72" applyFont="1" applyFill="1" applyBorder="1" applyAlignment="1">
      <alignment wrapText="1"/>
    </xf>
    <xf numFmtId="208" fontId="125" fillId="9" borderId="4" xfId="72" applyNumberFormat="1" applyFont="1" applyFill="1" applyBorder="1" applyAlignment="1">
      <alignment wrapText="1"/>
    </xf>
    <xf numFmtId="43" fontId="125" fillId="9" borderId="4" xfId="72" applyNumberFormat="1" applyFont="1" applyFill="1" applyBorder="1" applyAlignment="1">
      <alignment wrapText="1"/>
    </xf>
    <xf numFmtId="43" fontId="126" fillId="9" borderId="4" xfId="72" applyFont="1" applyFill="1" applyBorder="1"/>
    <xf numFmtId="0" fontId="191" fillId="0" borderId="0" xfId="0" applyFont="1" applyAlignment="1">
      <alignment vertical="top"/>
    </xf>
    <xf numFmtId="165" fontId="11" fillId="0" borderId="0" xfId="4209" applyFont="1"/>
    <xf numFmtId="49" fontId="192" fillId="0" borderId="47" xfId="0" applyNumberFormat="1" applyFont="1" applyBorder="1" applyAlignment="1">
      <alignment horizontal="left" vertical="top" indent="2"/>
    </xf>
    <xf numFmtId="49" fontId="192" fillId="0" borderId="24" xfId="0" applyNumberFormat="1" applyFont="1" applyBorder="1" applyAlignment="1">
      <alignment horizontal="left" vertical="top" indent="2"/>
    </xf>
    <xf numFmtId="49" fontId="192" fillId="0" borderId="170" xfId="0" applyNumberFormat="1" applyFont="1" applyBorder="1" applyAlignment="1">
      <alignment horizontal="center" vertical="top"/>
    </xf>
    <xf numFmtId="49" fontId="192" fillId="0" borderId="15" xfId="0" applyNumberFormat="1" applyFont="1" applyBorder="1" applyAlignment="1">
      <alignment horizontal="left" vertical="top" indent="2"/>
    </xf>
    <xf numFmtId="49" fontId="192" fillId="0" borderId="15" xfId="0" applyNumberFormat="1" applyFont="1" applyBorder="1" applyAlignment="1">
      <alignment horizontal="center" vertical="top"/>
    </xf>
    <xf numFmtId="49" fontId="193" fillId="0" borderId="4" xfId="0" applyNumberFormat="1" applyFont="1" applyBorder="1" applyAlignment="1">
      <alignment horizontal="center" vertical="top"/>
    </xf>
    <xf numFmtId="49" fontId="192" fillId="0" borderId="0" xfId="0" applyNumberFormat="1" applyFont="1" applyAlignment="1">
      <alignment horizontal="left" vertical="top" indent="2"/>
    </xf>
    <xf numFmtId="49" fontId="192" fillId="0" borderId="19" xfId="0" applyNumberFormat="1" applyFont="1" applyBorder="1" applyAlignment="1">
      <alignment horizontal="center" vertical="top"/>
    </xf>
    <xf numFmtId="49" fontId="193" fillId="0" borderId="134" xfId="0" applyNumberFormat="1" applyFont="1" applyBorder="1" applyAlignment="1">
      <alignment horizontal="center" vertical="top"/>
    </xf>
    <xf numFmtId="209" fontId="193" fillId="0" borderId="19" xfId="0" applyNumberFormat="1" applyFont="1" applyBorder="1" applyAlignment="1">
      <alignment horizontal="right" vertical="top"/>
    </xf>
    <xf numFmtId="49" fontId="192" fillId="0" borderId="0" xfId="0" applyNumberFormat="1" applyFont="1" applyAlignment="1">
      <alignment horizontal="left" vertical="top"/>
    </xf>
    <xf numFmtId="210" fontId="192" fillId="0" borderId="134" xfId="0" applyNumberFormat="1" applyFont="1" applyBorder="1" applyAlignment="1">
      <alignment horizontal="right" vertical="top"/>
    </xf>
    <xf numFmtId="202" fontId="194" fillId="0" borderId="134" xfId="0" applyNumberFormat="1" applyFont="1" applyBorder="1" applyAlignment="1">
      <alignment horizontal="right" vertical="top"/>
    </xf>
    <xf numFmtId="49" fontId="193" fillId="0" borderId="0" xfId="0" applyNumberFormat="1" applyFont="1" applyAlignment="1">
      <alignment horizontal="left" vertical="top" indent="2"/>
    </xf>
    <xf numFmtId="211" fontId="193" fillId="0" borderId="19" xfId="0" applyNumberFormat="1" applyFont="1" applyBorder="1" applyAlignment="1">
      <alignment horizontal="right" vertical="top"/>
    </xf>
    <xf numFmtId="202" fontId="193" fillId="0" borderId="19" xfId="0" applyNumberFormat="1" applyFont="1" applyBorder="1" applyAlignment="1">
      <alignment horizontal="right" vertical="top"/>
    </xf>
    <xf numFmtId="49" fontId="194" fillId="0" borderId="0" xfId="0" applyNumberFormat="1" applyFont="1" applyAlignment="1">
      <alignment horizontal="left" vertical="top" indent="2"/>
    </xf>
    <xf numFmtId="210" fontId="194" fillId="0" borderId="134" xfId="0" applyNumberFormat="1" applyFont="1" applyBorder="1" applyAlignment="1">
      <alignment horizontal="right" vertical="top"/>
    </xf>
    <xf numFmtId="202" fontId="193" fillId="0" borderId="0" xfId="0" applyNumberFormat="1" applyFont="1" applyAlignment="1">
      <alignment horizontal="right" vertical="top"/>
    </xf>
    <xf numFmtId="202" fontId="194" fillId="0" borderId="19" xfId="0" applyNumberFormat="1" applyFont="1" applyBorder="1" applyAlignment="1">
      <alignment horizontal="right" vertical="top"/>
    </xf>
    <xf numFmtId="210" fontId="193" fillId="0" borderId="134" xfId="0" applyNumberFormat="1" applyFont="1" applyBorder="1" applyAlignment="1">
      <alignment horizontal="right" vertical="top"/>
    </xf>
    <xf numFmtId="49" fontId="194" fillId="0" borderId="0" xfId="0" applyNumberFormat="1" applyFont="1" applyAlignment="1">
      <alignment horizontal="left" vertical="top" indent="3"/>
    </xf>
    <xf numFmtId="210" fontId="194" fillId="0" borderId="0" xfId="0" applyNumberFormat="1" applyFont="1" applyAlignment="1">
      <alignment horizontal="right" vertical="top"/>
    </xf>
    <xf numFmtId="211" fontId="194" fillId="0" borderId="19" xfId="0" applyNumberFormat="1" applyFont="1" applyBorder="1" applyAlignment="1">
      <alignment horizontal="right" vertical="top"/>
    </xf>
    <xf numFmtId="49" fontId="194" fillId="0" borderId="0" xfId="0" applyNumberFormat="1" applyFont="1" applyAlignment="1">
      <alignment horizontal="left" vertical="top" indent="6"/>
    </xf>
    <xf numFmtId="211" fontId="194" fillId="0" borderId="0" xfId="0" applyNumberFormat="1" applyFont="1" applyAlignment="1">
      <alignment horizontal="right" vertical="top"/>
    </xf>
    <xf numFmtId="210" fontId="194" fillId="0" borderId="19" xfId="0" applyNumberFormat="1" applyFont="1" applyBorder="1" applyAlignment="1">
      <alignment horizontal="right" vertical="top"/>
    </xf>
    <xf numFmtId="211" fontId="193" fillId="0" borderId="0" xfId="0" applyNumberFormat="1" applyFont="1" applyAlignment="1">
      <alignment horizontal="right" vertical="top"/>
    </xf>
    <xf numFmtId="49" fontId="195" fillId="0" borderId="0" xfId="0" applyNumberFormat="1" applyFont="1" applyAlignment="1">
      <alignment horizontal="left" vertical="top" indent="3"/>
    </xf>
    <xf numFmtId="49" fontId="192" fillId="0" borderId="0" xfId="0" applyNumberFormat="1" applyFont="1" applyAlignment="1">
      <alignment horizontal="left" vertical="top" indent="1"/>
    </xf>
    <xf numFmtId="49" fontId="194" fillId="0" borderId="0" xfId="0" applyNumberFormat="1" applyFont="1" applyAlignment="1">
      <alignment horizontal="left" vertical="top" indent="4"/>
    </xf>
    <xf numFmtId="49" fontId="194" fillId="0" borderId="0" xfId="0" applyNumberFormat="1" applyFont="1" applyAlignment="1">
      <alignment horizontal="left" vertical="top" indent="5"/>
    </xf>
    <xf numFmtId="202" fontId="0" fillId="0" borderId="0" xfId="0" applyNumberFormat="1"/>
    <xf numFmtId="49" fontId="192" fillId="0" borderId="0" xfId="0" applyNumberFormat="1" applyFont="1" applyAlignment="1">
      <alignment vertical="top"/>
    </xf>
    <xf numFmtId="202" fontId="195" fillId="0" borderId="134" xfId="0" applyNumberFormat="1" applyFont="1" applyBorder="1" applyAlignment="1">
      <alignment horizontal="right" vertical="top"/>
    </xf>
    <xf numFmtId="49" fontId="193" fillId="0" borderId="0" xfId="0" applyNumberFormat="1" applyFont="1" applyAlignment="1">
      <alignment vertical="top"/>
    </xf>
    <xf numFmtId="210" fontId="193" fillId="0" borderId="0" xfId="0" applyNumberFormat="1" applyFont="1" applyAlignment="1">
      <alignment horizontal="right" vertical="top"/>
    </xf>
    <xf numFmtId="202" fontId="194" fillId="0" borderId="0" xfId="0" applyNumberFormat="1" applyFont="1" applyAlignment="1">
      <alignment horizontal="right" vertical="top"/>
    </xf>
    <xf numFmtId="49" fontId="193" fillId="0" borderId="0" xfId="0" applyNumberFormat="1" applyFont="1" applyAlignment="1">
      <alignment horizontal="left" vertical="top" indent="4"/>
    </xf>
    <xf numFmtId="211" fontId="193" fillId="0" borderId="134" xfId="0" applyNumberFormat="1" applyFont="1" applyBorder="1" applyAlignment="1">
      <alignment horizontal="right" vertical="top"/>
    </xf>
    <xf numFmtId="202" fontId="193" fillId="0" borderId="134" xfId="0" applyNumberFormat="1" applyFont="1" applyBorder="1" applyAlignment="1">
      <alignment horizontal="right" vertical="top"/>
    </xf>
    <xf numFmtId="209" fontId="193" fillId="0" borderId="134" xfId="0" applyNumberFormat="1" applyFont="1" applyBorder="1" applyAlignment="1">
      <alignment horizontal="right" vertical="top"/>
    </xf>
    <xf numFmtId="49" fontId="194" fillId="0" borderId="0" xfId="0" applyNumberFormat="1" applyFont="1" applyAlignment="1">
      <alignment horizontal="left" vertical="top" indent="7"/>
    </xf>
    <xf numFmtId="209" fontId="193" fillId="0" borderId="0" xfId="0" applyNumberFormat="1" applyFont="1" applyAlignment="1">
      <alignment horizontal="right" vertical="top"/>
    </xf>
    <xf numFmtId="49" fontId="192" fillId="0" borderId="172" xfId="0" applyNumberFormat="1" applyFont="1" applyBorder="1" applyAlignment="1">
      <alignment vertical="top"/>
    </xf>
    <xf numFmtId="0" fontId="0" fillId="0" borderId="172" xfId="0" applyBorder="1"/>
    <xf numFmtId="211" fontId="192" fillId="0" borderId="19" xfId="0" applyNumberFormat="1" applyFont="1" applyBorder="1" applyAlignment="1">
      <alignment horizontal="right" vertical="top"/>
    </xf>
    <xf numFmtId="49" fontId="193" fillId="0" borderId="0" xfId="0" applyNumberFormat="1" applyFont="1" applyAlignment="1">
      <alignment horizontal="left" vertical="top" indent="3"/>
    </xf>
    <xf numFmtId="211" fontId="194" fillId="0" borderId="134" xfId="0" applyNumberFormat="1" applyFont="1" applyBorder="1" applyAlignment="1">
      <alignment horizontal="right" vertical="top"/>
    </xf>
    <xf numFmtId="43" fontId="125" fillId="9" borderId="4" xfId="885" applyFont="1" applyFill="1" applyBorder="1"/>
    <xf numFmtId="165" fontId="196" fillId="0" borderId="0" xfId="0" applyNumberFormat="1" applyFont="1" applyAlignment="1"/>
    <xf numFmtId="0" fontId="120" fillId="0" borderId="4" xfId="564" applyFont="1" applyFill="1" applyBorder="1" applyAlignment="1">
      <alignment horizontal="left" vertical="top"/>
    </xf>
    <xf numFmtId="0" fontId="120" fillId="0" borderId="4" xfId="564" applyFont="1" applyFill="1" applyBorder="1" applyAlignment="1">
      <alignment horizontal="left" vertical="top" wrapText="1"/>
    </xf>
    <xf numFmtId="2" fontId="120" fillId="0" borderId="4" xfId="564" applyNumberFormat="1" applyFont="1" applyFill="1" applyBorder="1" applyAlignment="1">
      <alignment horizontal="center" vertical="top"/>
    </xf>
    <xf numFmtId="10" fontId="120" fillId="0" borderId="4" xfId="564" applyNumberFormat="1" applyFont="1" applyFill="1" applyBorder="1" applyAlignment="1">
      <alignment horizontal="center" vertical="top"/>
    </xf>
    <xf numFmtId="4" fontId="120" fillId="0" borderId="4" xfId="564" applyNumberFormat="1" applyFont="1" applyFill="1" applyBorder="1" applyAlignment="1">
      <alignment horizontal="center" vertical="top"/>
    </xf>
    <xf numFmtId="0" fontId="120" fillId="0" borderId="4" xfId="564" applyFont="1" applyFill="1" applyBorder="1" applyAlignment="1">
      <alignment horizontal="center" vertical="top"/>
    </xf>
    <xf numFmtId="2" fontId="120" fillId="8" borderId="4" xfId="564" applyNumberFormat="1" applyFont="1" applyFill="1" applyBorder="1" applyAlignment="1">
      <alignment horizontal="center" vertical="top"/>
    </xf>
    <xf numFmtId="2" fontId="0" fillId="0" borderId="4" xfId="0" applyNumberFormat="1" applyBorder="1"/>
    <xf numFmtId="0" fontId="119" fillId="0" borderId="4" xfId="17" applyFont="1" applyFill="1" applyBorder="1" applyAlignment="1">
      <alignment horizontal="center" vertical="center" wrapText="1"/>
    </xf>
    <xf numFmtId="0" fontId="124" fillId="0" borderId="0" xfId="0" applyFont="1" applyFill="1" applyBorder="1" applyAlignment="1">
      <alignment horizontal="left" vertical="center"/>
    </xf>
    <xf numFmtId="0" fontId="119" fillId="5" borderId="0" xfId="17" applyFont="1" applyFill="1" applyBorder="1" applyAlignment="1">
      <alignment horizontal="center"/>
    </xf>
    <xf numFmtId="0" fontId="125" fillId="0" borderId="0" xfId="0" applyFont="1" applyAlignment="1"/>
    <xf numFmtId="0" fontId="126" fillId="0" borderId="4" xfId="0" applyFont="1" applyFill="1" applyBorder="1" applyAlignment="1">
      <alignment horizontal="center" vertical="center" wrapText="1"/>
    </xf>
    <xf numFmtId="0" fontId="10" fillId="0" borderId="4" xfId="0" applyFont="1" applyBorder="1" applyAlignment="1">
      <alignment horizontal="center"/>
    </xf>
    <xf numFmtId="10" fontId="0" fillId="0" borderId="0" xfId="0" applyNumberFormat="1"/>
    <xf numFmtId="0" fontId="119" fillId="0" borderId="4" xfId="17" applyFont="1" applyFill="1" applyBorder="1" applyAlignment="1">
      <alignment horizontal="center" vertical="center" wrapText="1"/>
    </xf>
    <xf numFmtId="0" fontId="151" fillId="0" borderId="4" xfId="0" applyFont="1" applyBorder="1" applyAlignment="1">
      <alignment horizontal="center" vertical="center" wrapText="1"/>
    </xf>
    <xf numFmtId="0" fontId="126" fillId="0" borderId="4" xfId="0" applyFont="1" applyFill="1" applyBorder="1" applyAlignment="1">
      <alignment horizontal="center" vertical="center" wrapText="1"/>
    </xf>
    <xf numFmtId="0" fontId="117" fillId="0" borderId="0" xfId="0" applyFont="1" applyBorder="1" applyAlignment="1">
      <alignment vertical="top"/>
    </xf>
    <xf numFmtId="0" fontId="117" fillId="0" borderId="0" xfId="0" applyFont="1" applyAlignment="1">
      <alignment vertical="top"/>
    </xf>
    <xf numFmtId="0" fontId="122" fillId="0" borderId="0" xfId="17" applyFont="1" applyFill="1" applyBorder="1" applyAlignment="1">
      <alignment vertical="top"/>
    </xf>
    <xf numFmtId="0" fontId="122" fillId="5" borderId="0" xfId="17" applyFont="1" applyFill="1" applyBorder="1" applyAlignment="1">
      <alignment vertical="top"/>
    </xf>
    <xf numFmtId="0" fontId="121" fillId="5" borderId="0" xfId="17" applyFont="1" applyFill="1" applyBorder="1" applyAlignment="1">
      <alignment vertical="top"/>
    </xf>
    <xf numFmtId="0" fontId="122" fillId="5" borderId="0" xfId="17" applyFont="1" applyFill="1" applyBorder="1" applyAlignment="1">
      <alignment horizontal="right" vertical="top"/>
    </xf>
    <xf numFmtId="0" fontId="122" fillId="0" borderId="19" xfId="0" applyFont="1" applyBorder="1" applyAlignment="1">
      <alignment horizontal="center" vertical="top"/>
    </xf>
    <xf numFmtId="49" fontId="122" fillId="0" borderId="4" xfId="0" applyNumberFormat="1" applyFont="1" applyFill="1" applyBorder="1" applyAlignment="1">
      <alignment horizontal="center" vertical="top" wrapText="1"/>
    </xf>
    <xf numFmtId="0" fontId="122" fillId="0" borderId="4" xfId="564" applyFont="1" applyFill="1" applyBorder="1" applyAlignment="1">
      <alignment horizontal="center" vertical="top" wrapText="1"/>
    </xf>
    <xf numFmtId="0" fontId="123" fillId="0" borderId="4" xfId="0" applyFont="1" applyFill="1" applyBorder="1" applyAlignment="1">
      <alignment vertical="top"/>
    </xf>
    <xf numFmtId="0" fontId="122" fillId="0" borderId="4" xfId="0" applyFont="1" applyFill="1" applyBorder="1" applyAlignment="1">
      <alignment vertical="top"/>
    </xf>
    <xf numFmtId="0" fontId="123" fillId="0" borderId="4" xfId="0" applyFont="1" applyFill="1" applyBorder="1" applyAlignment="1">
      <alignment horizontal="center" vertical="top"/>
    </xf>
    <xf numFmtId="49" fontId="122" fillId="0" borderId="4" xfId="0" applyNumberFormat="1" applyFont="1" applyFill="1" applyBorder="1" applyAlignment="1">
      <alignment vertical="top" wrapText="1"/>
    </xf>
    <xf numFmtId="0" fontId="123" fillId="0" borderId="0" xfId="0" applyFont="1" applyAlignment="1">
      <alignment vertical="top"/>
    </xf>
    <xf numFmtId="0" fontId="122" fillId="0" borderId="0" xfId="0" applyFont="1" applyAlignment="1">
      <alignment vertical="top"/>
    </xf>
    <xf numFmtId="0" fontId="119" fillId="0" borderId="4" xfId="17" applyFont="1" applyFill="1" applyBorder="1" applyAlignment="1">
      <alignment horizontal="center" vertical="top"/>
    </xf>
    <xf numFmtId="0" fontId="126" fillId="0" borderId="4" xfId="0" applyFont="1" applyFill="1" applyBorder="1" applyAlignment="1">
      <alignment horizontal="center" vertical="top" wrapText="1"/>
    </xf>
    <xf numFmtId="0" fontId="123" fillId="0" borderId="4" xfId="0" applyNumberFormat="1" applyFont="1" applyFill="1" applyBorder="1" applyAlignment="1">
      <alignment vertical="top"/>
    </xf>
    <xf numFmtId="43" fontId="117" fillId="0" borderId="4" xfId="0" applyNumberFormat="1" applyFont="1" applyFill="1" applyBorder="1" applyAlignment="1">
      <alignment vertical="top"/>
    </xf>
    <xf numFmtId="43" fontId="117" fillId="0" borderId="0" xfId="0" applyNumberFormat="1" applyFont="1" applyAlignment="1">
      <alignment vertical="top"/>
    </xf>
    <xf numFmtId="43" fontId="117" fillId="0" borderId="4" xfId="72" applyFont="1" applyFill="1" applyBorder="1" applyAlignment="1">
      <alignment vertical="top"/>
    </xf>
    <xf numFmtId="10" fontId="117" fillId="0" borderId="4" xfId="0" applyNumberFormat="1" applyFont="1" applyFill="1" applyBorder="1" applyAlignment="1">
      <alignment vertical="top"/>
    </xf>
    <xf numFmtId="0" fontId="123" fillId="0" borderId="4" xfId="0" applyNumberFormat="1" applyFont="1" applyFill="1" applyBorder="1" applyAlignment="1">
      <alignment horizontal="left" vertical="top" wrapText="1"/>
    </xf>
    <xf numFmtId="10" fontId="117" fillId="0" borderId="4" xfId="58" applyNumberFormat="1" applyFont="1" applyFill="1" applyBorder="1" applyAlignment="1">
      <alignment vertical="top"/>
    </xf>
    <xf numFmtId="10" fontId="117" fillId="0" borderId="0" xfId="58" applyNumberFormat="1" applyFont="1" applyAlignment="1">
      <alignment vertical="top"/>
    </xf>
    <xf numFmtId="2" fontId="120" fillId="0" borderId="4" xfId="0" applyNumberFormat="1" applyFont="1" applyFill="1" applyBorder="1" applyAlignment="1">
      <alignment vertical="top"/>
    </xf>
    <xf numFmtId="2" fontId="120" fillId="0" borderId="4" xfId="0" applyNumberFormat="1" applyFont="1" applyBorder="1" applyAlignment="1">
      <alignment vertical="top"/>
    </xf>
    <xf numFmtId="2" fontId="120" fillId="0" borderId="4" xfId="0" applyNumberFormat="1" applyFont="1" applyFill="1" applyBorder="1" applyAlignment="1">
      <alignment horizontal="center" vertical="top"/>
    </xf>
    <xf numFmtId="17" fontId="197" fillId="0" borderId="31" xfId="0" applyNumberFormat="1" applyFont="1" applyBorder="1" applyAlignment="1">
      <alignment horizontal="justify" vertical="center" wrapText="1"/>
    </xf>
    <xf numFmtId="17" fontId="197" fillId="0" borderId="4" xfId="0" applyNumberFormat="1" applyFont="1" applyBorder="1" applyAlignment="1">
      <alignment horizontal="justify" vertical="center" wrapText="1"/>
    </xf>
    <xf numFmtId="10" fontId="197" fillId="0" borderId="140" xfId="0" applyNumberFormat="1" applyFont="1" applyBorder="1" applyAlignment="1">
      <alignment horizontal="center" vertical="center" wrapText="1"/>
    </xf>
    <xf numFmtId="10" fontId="197" fillId="0" borderId="4" xfId="0" applyNumberFormat="1" applyFont="1" applyBorder="1" applyAlignment="1">
      <alignment horizontal="center" vertical="center" wrapText="1"/>
    </xf>
    <xf numFmtId="0" fontId="119" fillId="9" borderId="4" xfId="17" applyFont="1" applyFill="1" applyBorder="1" applyAlignment="1">
      <alignment horizontal="center" vertical="center" wrapText="1"/>
    </xf>
    <xf numFmtId="0" fontId="126" fillId="9" borderId="4" xfId="0" applyFont="1" applyFill="1" applyBorder="1" applyAlignment="1">
      <alignment horizontal="center" vertical="center" wrapText="1"/>
    </xf>
    <xf numFmtId="0" fontId="120" fillId="9" borderId="4" xfId="0" applyFont="1" applyFill="1" applyBorder="1" applyAlignment="1">
      <alignment horizontal="center" wrapText="1"/>
    </xf>
    <xf numFmtId="0" fontId="120" fillId="9" borderId="4" xfId="0" applyFont="1" applyFill="1" applyBorder="1" applyAlignment="1">
      <alignment horizontal="left" vertical="center" wrapText="1"/>
    </xf>
    <xf numFmtId="2" fontId="120" fillId="9" borderId="4" xfId="0" applyNumberFormat="1" applyFont="1" applyFill="1" applyBorder="1" applyAlignment="1">
      <alignment horizontal="center" wrapText="1"/>
    </xf>
    <xf numFmtId="43" fontId="120" fillId="9" borderId="4" xfId="72" applyFont="1" applyFill="1" applyBorder="1" applyAlignment="1">
      <alignment horizontal="center" wrapText="1"/>
    </xf>
    <xf numFmtId="43" fontId="125" fillId="9" borderId="4" xfId="72" applyFont="1" applyFill="1" applyBorder="1" applyAlignment="1"/>
    <xf numFmtId="175" fontId="120" fillId="9" borderId="4" xfId="0" applyNumberFormat="1" applyFont="1" applyFill="1" applyBorder="1" applyAlignment="1">
      <alignment horizontal="center" wrapText="1"/>
    </xf>
    <xf numFmtId="175" fontId="120" fillId="9" borderId="4" xfId="0" applyNumberFormat="1" applyFont="1" applyFill="1" applyBorder="1" applyAlignment="1">
      <alignment horizontal="right" wrapText="1"/>
    </xf>
    <xf numFmtId="175" fontId="125" fillId="9" borderId="4" xfId="0" applyNumberFormat="1" applyFont="1" applyFill="1" applyBorder="1" applyAlignment="1"/>
    <xf numFmtId="0" fontId="119" fillId="9" borderId="4" xfId="0" applyFont="1" applyFill="1" applyBorder="1" applyAlignment="1"/>
    <xf numFmtId="0" fontId="119" fillId="9" borderId="28" xfId="0" applyFont="1" applyFill="1" applyBorder="1" applyAlignment="1">
      <alignment horizontal="left" vertical="center" wrapText="1"/>
    </xf>
    <xf numFmtId="43" fontId="119" fillId="9" borderId="4" xfId="72" applyFont="1" applyFill="1" applyBorder="1" applyAlignment="1">
      <alignment horizontal="center"/>
    </xf>
    <xf numFmtId="2" fontId="119" fillId="9" borderId="4" xfId="0" applyNumberFormat="1" applyFont="1" applyFill="1" applyBorder="1" applyAlignment="1">
      <alignment horizontal="center"/>
    </xf>
    <xf numFmtId="43" fontId="125" fillId="0" borderId="4" xfId="72" applyFont="1" applyBorder="1" applyAlignment="1">
      <alignment vertical="top"/>
    </xf>
    <xf numFmtId="43" fontId="125" fillId="0" borderId="4" xfId="0" applyNumberFormat="1" applyFont="1" applyBorder="1" applyAlignment="1">
      <alignment vertical="top"/>
    </xf>
    <xf numFmtId="49" fontId="122" fillId="9" borderId="4" xfId="0" applyNumberFormat="1" applyFont="1" applyFill="1" applyBorder="1" applyAlignment="1">
      <alignment horizontal="center" vertical="top" wrapText="1"/>
    </xf>
    <xf numFmtId="0" fontId="122" fillId="9" borderId="4" xfId="564" applyFont="1" applyFill="1" applyBorder="1" applyAlignment="1">
      <alignment horizontal="center" vertical="top" wrapText="1"/>
    </xf>
    <xf numFmtId="0" fontId="123" fillId="9" borderId="4" xfId="0" applyFont="1" applyFill="1" applyBorder="1" applyAlignment="1">
      <alignment vertical="top"/>
    </xf>
    <xf numFmtId="0" fontId="122" fillId="9" borderId="4" xfId="0" applyFont="1" applyFill="1" applyBorder="1" applyAlignment="1">
      <alignment vertical="top"/>
    </xf>
    <xf numFmtId="49" fontId="122" fillId="9" borderId="4" xfId="0" applyNumberFormat="1" applyFont="1" applyFill="1" applyBorder="1" applyAlignment="1">
      <alignment vertical="top" wrapText="1"/>
    </xf>
    <xf numFmtId="0" fontId="117" fillId="9" borderId="4" xfId="0" applyFont="1" applyFill="1" applyBorder="1" applyAlignment="1">
      <alignment vertical="top"/>
    </xf>
    <xf numFmtId="0" fontId="123" fillId="9" borderId="4" xfId="0" applyFont="1" applyFill="1" applyBorder="1" applyAlignment="1">
      <alignment horizontal="center" vertical="top"/>
    </xf>
    <xf numFmtId="0" fontId="123" fillId="9" borderId="4" xfId="0" applyFont="1" applyFill="1" applyBorder="1" applyAlignment="1">
      <alignment vertical="top" wrapText="1"/>
    </xf>
    <xf numFmtId="43" fontId="123" fillId="9" borderId="4" xfId="564" applyNumberFormat="1" applyFont="1" applyFill="1" applyBorder="1" applyAlignment="1">
      <alignment horizontal="center" vertical="top" wrapText="1"/>
    </xf>
    <xf numFmtId="43" fontId="122" fillId="9" borderId="4" xfId="564" applyNumberFormat="1" applyFont="1" applyFill="1" applyBorder="1" applyAlignment="1">
      <alignment horizontal="center" vertical="top" wrapText="1"/>
    </xf>
    <xf numFmtId="0" fontId="117" fillId="9" borderId="0" xfId="0" applyFont="1" applyFill="1" applyAlignment="1">
      <alignment vertical="top"/>
    </xf>
    <xf numFmtId="0" fontId="121" fillId="0" borderId="0" xfId="0" applyFont="1" applyFill="1" applyBorder="1" applyAlignment="1">
      <alignment vertical="top"/>
    </xf>
    <xf numFmtId="0" fontId="199" fillId="0" borderId="4" xfId="0" applyFont="1" applyBorder="1" applyAlignment="1">
      <alignment horizontal="center" vertical="center"/>
    </xf>
    <xf numFmtId="0" fontId="198" fillId="70" borderId="4" xfId="0" applyFont="1" applyFill="1" applyBorder="1" applyAlignment="1">
      <alignment horizontal="center" vertical="center" wrapText="1"/>
    </xf>
    <xf numFmtId="0" fontId="200" fillId="70" borderId="161" xfId="0" applyFont="1" applyFill="1" applyBorder="1" applyAlignment="1">
      <alignment horizontal="center" vertical="center" wrapText="1"/>
    </xf>
    <xf numFmtId="0" fontId="199" fillId="9" borderId="4" xfId="0" applyFont="1" applyFill="1" applyBorder="1" applyAlignment="1">
      <alignment horizontal="center" vertical="center"/>
    </xf>
    <xf numFmtId="0" fontId="201" fillId="0" borderId="4" xfId="0" applyFont="1" applyBorder="1" applyAlignment="1">
      <alignment horizontal="center" vertical="center" wrapText="1"/>
    </xf>
    <xf numFmtId="0" fontId="199" fillId="0" borderId="4" xfId="0" applyFont="1" applyBorder="1" applyAlignment="1">
      <alignment horizontal="center" vertical="center" wrapText="1"/>
    </xf>
    <xf numFmtId="0" fontId="201" fillId="0" borderId="4" xfId="0" applyFont="1" applyBorder="1" applyAlignment="1">
      <alignment horizontal="center" vertical="center"/>
    </xf>
    <xf numFmtId="0" fontId="151" fillId="67" borderId="4" xfId="0" applyFont="1" applyFill="1" applyBorder="1" applyAlignment="1">
      <alignment horizontal="center" vertical="center" wrapText="1"/>
    </xf>
    <xf numFmtId="0" fontId="199" fillId="67" borderId="4" xfId="0" applyFont="1" applyFill="1" applyBorder="1" applyAlignment="1">
      <alignment horizontal="center" vertical="center"/>
    </xf>
    <xf numFmtId="0" fontId="199" fillId="9" borderId="4" xfId="0" applyFont="1" applyFill="1" applyBorder="1" applyAlignment="1">
      <alignment horizontal="center" vertical="center" wrapText="1"/>
    </xf>
    <xf numFmtId="0" fontId="151" fillId="0" borderId="4" xfId="0" applyFont="1" applyBorder="1" applyAlignment="1">
      <alignment horizontal="center" vertical="center"/>
    </xf>
    <xf numFmtId="0" fontId="201" fillId="9" borderId="4" xfId="0" applyFont="1" applyFill="1" applyBorder="1" applyAlignment="1">
      <alignment horizontal="center" vertical="center" wrapText="1"/>
    </xf>
    <xf numFmtId="0" fontId="199" fillId="9" borderId="4" xfId="0" applyFont="1" applyFill="1" applyBorder="1" applyAlignment="1">
      <alignment horizontal="center"/>
    </xf>
    <xf numFmtId="0" fontId="199" fillId="67" borderId="4" xfId="0" applyFont="1" applyFill="1" applyBorder="1" applyAlignment="1">
      <alignment horizontal="center" vertical="center" wrapText="1"/>
    </xf>
    <xf numFmtId="0" fontId="198" fillId="0" borderId="4" xfId="0" applyFont="1" applyBorder="1" applyAlignment="1">
      <alignment horizontal="center" vertical="center" wrapText="1"/>
    </xf>
    <xf numFmtId="0" fontId="199" fillId="0" borderId="4" xfId="0" quotePrefix="1" applyFont="1" applyBorder="1" applyAlignment="1">
      <alignment horizontal="center" vertical="center" wrapText="1"/>
    </xf>
    <xf numFmtId="0" fontId="200" fillId="0" borderId="161" xfId="0" applyFont="1" applyBorder="1" applyAlignment="1">
      <alignment horizontal="center" vertical="center" wrapText="1"/>
    </xf>
    <xf numFmtId="0" fontId="202" fillId="0" borderId="4" xfId="0" applyFont="1" applyBorder="1" applyAlignment="1">
      <alignment horizontal="center" wrapText="1"/>
    </xf>
    <xf numFmtId="0" fontId="176" fillId="0" borderId="4" xfId="0" applyFont="1" applyBorder="1" applyAlignment="1">
      <alignment horizontal="center" vertical="center" wrapText="1"/>
    </xf>
    <xf numFmtId="10" fontId="120" fillId="0" borderId="0" xfId="58" applyNumberFormat="1" applyFont="1" applyFill="1" applyBorder="1" applyAlignment="1">
      <alignment horizontal="left"/>
    </xf>
    <xf numFmtId="0" fontId="119" fillId="0" borderId="4" xfId="17" applyFont="1" applyFill="1" applyBorder="1" applyAlignment="1">
      <alignment horizontal="center" vertical="center" wrapText="1"/>
    </xf>
    <xf numFmtId="0" fontId="117" fillId="0" borderId="0" xfId="0" applyFont="1" applyAlignment="1"/>
    <xf numFmtId="0" fontId="119" fillId="5" borderId="0" xfId="17" applyFont="1" applyFill="1" applyBorder="1" applyAlignment="1">
      <alignment horizontal="center"/>
    </xf>
    <xf numFmtId="0" fontId="125" fillId="0" borderId="0" xfId="0" applyFont="1" applyAlignment="1"/>
    <xf numFmtId="0" fontId="124" fillId="0" borderId="0" xfId="0" applyFont="1" applyFill="1" applyBorder="1" applyAlignment="1"/>
    <xf numFmtId="0" fontId="126" fillId="0" borderId="4" xfId="0" applyFont="1" applyFill="1" applyBorder="1" applyAlignment="1">
      <alignment horizontal="center" vertical="center" wrapText="1"/>
    </xf>
    <xf numFmtId="0" fontId="122" fillId="0" borderId="4" xfId="17" applyFont="1" applyFill="1" applyBorder="1" applyAlignment="1">
      <alignment horizontal="center" vertical="center"/>
    </xf>
    <xf numFmtId="0" fontId="125" fillId="9" borderId="4" xfId="0" applyFont="1" applyFill="1" applyBorder="1"/>
    <xf numFmtId="2" fontId="125" fillId="9" borderId="4" xfId="0" applyNumberFormat="1" applyFont="1" applyFill="1" applyBorder="1"/>
    <xf numFmtId="10" fontId="125" fillId="9" borderId="4" xfId="58" applyNumberFormat="1" applyFont="1" applyFill="1" applyBorder="1"/>
    <xf numFmtId="2" fontId="126" fillId="9" borderId="4" xfId="0" applyNumberFormat="1" applyFont="1" applyFill="1" applyBorder="1"/>
    <xf numFmtId="1" fontId="126" fillId="9" borderId="4" xfId="0" applyNumberFormat="1" applyFont="1" applyFill="1" applyBorder="1"/>
    <xf numFmtId="206" fontId="125" fillId="9" borderId="4" xfId="72" applyNumberFormat="1" applyFont="1" applyFill="1" applyBorder="1"/>
    <xf numFmtId="0" fontId="122" fillId="0" borderId="0" xfId="0" applyFont="1" applyAlignment="1"/>
    <xf numFmtId="0" fontId="122" fillId="0" borderId="4" xfId="17" applyFont="1" applyFill="1" applyBorder="1" applyAlignment="1">
      <alignment horizontal="center" vertical="center" wrapText="1"/>
    </xf>
    <xf numFmtId="0" fontId="123" fillId="0" borderId="4" xfId="0" applyFont="1" applyFill="1" applyBorder="1" applyAlignment="1">
      <alignment horizontal="left" wrapText="1"/>
    </xf>
    <xf numFmtId="2" fontId="123" fillId="0" borderId="4" xfId="0" applyNumberFormat="1" applyFont="1" applyFill="1" applyBorder="1" applyAlignment="1"/>
    <xf numFmtId="10" fontId="123" fillId="0" borderId="4" xfId="58" applyNumberFormat="1" applyFont="1" applyFill="1" applyBorder="1" applyAlignment="1"/>
    <xf numFmtId="43" fontId="123" fillId="0" borderId="4" xfId="72" applyFont="1" applyFill="1" applyBorder="1" applyAlignment="1"/>
    <xf numFmtId="17" fontId="123" fillId="0" borderId="4" xfId="0" applyNumberFormat="1" applyFont="1" applyFill="1" applyBorder="1" applyAlignment="1">
      <alignment horizontal="left" wrapText="1" indent="1"/>
    </xf>
    <xf numFmtId="10" fontId="0" fillId="0" borderId="4" xfId="0" applyNumberFormat="1" applyFont="1" applyBorder="1"/>
    <xf numFmtId="2" fontId="123" fillId="0" borderId="4" xfId="0" applyNumberFormat="1" applyFont="1" applyBorder="1" applyAlignment="1"/>
    <xf numFmtId="10" fontId="117" fillId="0" borderId="4" xfId="0" applyNumberFormat="1" applyFont="1" applyBorder="1" applyAlignment="1"/>
    <xf numFmtId="43" fontId="114" fillId="0" borderId="4" xfId="0" applyNumberFormat="1" applyFont="1" applyBorder="1" applyAlignment="1"/>
    <xf numFmtId="43" fontId="114" fillId="0" borderId="4" xfId="0" applyNumberFormat="1" applyFont="1" applyBorder="1" applyAlignment="1">
      <alignment vertical="center"/>
    </xf>
    <xf numFmtId="10" fontId="0" fillId="0" borderId="0" xfId="58" applyNumberFormat="1" applyFont="1"/>
    <xf numFmtId="0" fontId="114" fillId="0" borderId="4" xfId="0" applyFont="1" applyBorder="1" applyAlignment="1">
      <alignment horizontal="center" vertical="center" wrapText="1"/>
    </xf>
    <xf numFmtId="0" fontId="114" fillId="0" borderId="4" xfId="0" applyFont="1" applyBorder="1" applyAlignment="1">
      <alignment horizontal="center" vertical="center"/>
    </xf>
    <xf numFmtId="165" fontId="120" fillId="0" borderId="0" xfId="564" applyNumberFormat="1" applyFont="1" applyFill="1" applyBorder="1" applyAlignment="1">
      <alignment horizontal="left"/>
    </xf>
    <xf numFmtId="2" fontId="120" fillId="9" borderId="4" xfId="0" applyNumberFormat="1" applyFont="1" applyFill="1" applyBorder="1" applyAlignment="1">
      <alignment horizontal="center"/>
    </xf>
    <xf numFmtId="0" fontId="120" fillId="9" borderId="28" xfId="0" applyFont="1" applyFill="1" applyBorder="1" applyAlignment="1">
      <alignment horizontal="center"/>
    </xf>
    <xf numFmtId="0" fontId="120" fillId="9" borderId="28" xfId="0" applyFont="1" applyFill="1" applyBorder="1" applyAlignment="1"/>
    <xf numFmtId="212" fontId="125" fillId="0" borderId="0" xfId="0" applyNumberFormat="1" applyFont="1" applyAlignment="1"/>
    <xf numFmtId="43" fontId="117" fillId="9" borderId="4" xfId="0" applyNumberFormat="1" applyFont="1" applyFill="1" applyBorder="1" applyAlignment="1"/>
    <xf numFmtId="0" fontId="125" fillId="0" borderId="4" xfId="0" applyFont="1" applyBorder="1" applyAlignment="1"/>
    <xf numFmtId="0" fontId="125" fillId="9" borderId="0" xfId="0" applyFont="1" applyFill="1" applyAlignment="1"/>
    <xf numFmtId="165" fontId="125" fillId="0" borderId="0" xfId="0" applyNumberFormat="1" applyFont="1" applyAlignment="1"/>
    <xf numFmtId="10" fontId="0" fillId="0" borderId="4" xfId="58" applyNumberFormat="1" applyFont="1" applyBorder="1"/>
    <xf numFmtId="0" fontId="204" fillId="71" borderId="4" xfId="0" applyFont="1" applyFill="1" applyBorder="1" applyAlignment="1">
      <alignment horizontal="center" vertical="center" wrapText="1"/>
    </xf>
    <xf numFmtId="0" fontId="204" fillId="71" borderId="4" xfId="0" applyFont="1" applyFill="1" applyBorder="1" applyAlignment="1">
      <alignment horizontal="left" vertical="center" wrapText="1"/>
    </xf>
    <xf numFmtId="0" fontId="203" fillId="0" borderId="0" xfId="0" applyFont="1"/>
    <xf numFmtId="0" fontId="197" fillId="0" borderId="0" xfId="0" applyFont="1"/>
    <xf numFmtId="0" fontId="197" fillId="0" borderId="0" xfId="0" applyFont="1" applyAlignment="1">
      <alignment horizontal="center"/>
    </xf>
    <xf numFmtId="0" fontId="197" fillId="0" borderId="4" xfId="0" applyFont="1" applyBorder="1" applyAlignment="1">
      <alignment horizontal="center"/>
    </xf>
    <xf numFmtId="0" fontId="197" fillId="0" borderId="4" xfId="0" applyFont="1" applyBorder="1" applyAlignment="1">
      <alignment wrapText="1"/>
    </xf>
    <xf numFmtId="2" fontId="197" fillId="0" borderId="4" xfId="0" applyNumberFormat="1" applyFont="1" applyBorder="1"/>
    <xf numFmtId="165" fontId="197" fillId="0" borderId="4" xfId="0" applyNumberFormat="1" applyFont="1" applyBorder="1"/>
    <xf numFmtId="0" fontId="119" fillId="0" borderId="4" xfId="17" applyFont="1" applyFill="1" applyBorder="1" applyAlignment="1">
      <alignment horizontal="center" vertical="center" wrapText="1"/>
    </xf>
    <xf numFmtId="0" fontId="114" fillId="0" borderId="4" xfId="0" applyFont="1" applyBorder="1" applyAlignment="1">
      <alignment horizontal="center" vertical="center" wrapText="1"/>
    </xf>
    <xf numFmtId="0" fontId="120" fillId="0" borderId="0" xfId="564" applyFont="1" applyFill="1" applyBorder="1" applyAlignment="1">
      <alignment horizontal="center"/>
    </xf>
    <xf numFmtId="0" fontId="125" fillId="0" borderId="0" xfId="0" applyFont="1" applyAlignment="1"/>
    <xf numFmtId="0" fontId="126" fillId="0" borderId="4" xfId="0" applyFont="1" applyFill="1" applyBorder="1" applyAlignment="1">
      <alignment horizontal="center" vertical="center" wrapText="1"/>
    </xf>
    <xf numFmtId="2" fontId="197" fillId="0" borderId="0" xfId="0" applyNumberFormat="1" applyFont="1"/>
    <xf numFmtId="0" fontId="122" fillId="0" borderId="4" xfId="0" applyFont="1" applyFill="1" applyBorder="1" applyAlignment="1">
      <alignment horizontal="center" vertical="top"/>
    </xf>
    <xf numFmtId="0" fontId="123" fillId="0" borderId="4" xfId="0" applyFont="1" applyFill="1" applyBorder="1" applyAlignment="1">
      <alignment horizontal="left" vertical="top" wrapText="1"/>
    </xf>
    <xf numFmtId="0" fontId="122" fillId="0" borderId="4" xfId="0" applyFont="1" applyFill="1" applyBorder="1" applyAlignment="1">
      <alignment horizontal="left" vertical="top" wrapText="1"/>
    </xf>
    <xf numFmtId="43" fontId="114" fillId="0" borderId="4" xfId="0" applyNumberFormat="1" applyFont="1" applyFill="1" applyBorder="1" applyAlignment="1">
      <alignment vertical="top"/>
    </xf>
    <xf numFmtId="0" fontId="117" fillId="0" borderId="4" xfId="0" applyFont="1" applyFill="1" applyBorder="1" applyAlignment="1">
      <alignment vertical="top"/>
    </xf>
    <xf numFmtId="0" fontId="117" fillId="0" borderId="0" xfId="0" applyFont="1" applyFill="1" applyAlignment="1">
      <alignment vertical="top"/>
    </xf>
    <xf numFmtId="0" fontId="122" fillId="66" borderId="4" xfId="17" applyFont="1" applyFill="1" applyBorder="1" applyAlignment="1">
      <alignment horizontal="center" vertical="top"/>
    </xf>
    <xf numFmtId="0" fontId="122" fillId="66" borderId="4" xfId="17" applyFont="1" applyFill="1" applyBorder="1" applyAlignment="1">
      <alignment horizontal="center" vertical="top" wrapText="1"/>
    </xf>
    <xf numFmtId="0" fontId="0" fillId="0" borderId="4" xfId="0" applyFill="1" applyBorder="1"/>
    <xf numFmtId="206" fontId="126" fillId="9" borderId="4" xfId="0" applyNumberFormat="1" applyFont="1" applyFill="1" applyBorder="1"/>
    <xf numFmtId="206" fontId="126" fillId="0" borderId="4" xfId="72" applyNumberFormat="1" applyFont="1" applyFill="1" applyBorder="1"/>
    <xf numFmtId="206" fontId="125" fillId="0" borderId="4" xfId="72" applyNumberFormat="1" applyFont="1" applyFill="1" applyBorder="1" applyAlignment="1"/>
    <xf numFmtId="0" fontId="196" fillId="0" borderId="0" xfId="0" applyFont="1" applyAlignment="1"/>
    <xf numFmtId="1" fontId="125" fillId="0" borderId="4" xfId="0" applyNumberFormat="1" applyFont="1" applyFill="1" applyBorder="1" applyAlignment="1"/>
    <xf numFmtId="171" fontId="125" fillId="0" borderId="4" xfId="0" applyNumberFormat="1" applyFont="1" applyFill="1" applyBorder="1" applyAlignment="1">
      <alignment vertical="center"/>
    </xf>
    <xf numFmtId="0" fontId="206" fillId="0" borderId="0" xfId="0" applyFont="1" applyAlignment="1">
      <alignment vertical="top"/>
    </xf>
    <xf numFmtId="43" fontId="120" fillId="0" borderId="0" xfId="564" applyNumberFormat="1" applyFont="1" applyFill="1" applyBorder="1" applyAlignment="1">
      <alignment horizontal="right" vertical="center"/>
    </xf>
    <xf numFmtId="10" fontId="120" fillId="0" borderId="0" xfId="564" applyNumberFormat="1" applyFont="1" applyFill="1" applyBorder="1" applyAlignment="1">
      <alignment horizontal="left"/>
    </xf>
    <xf numFmtId="10" fontId="0" fillId="0" borderId="4" xfId="58" applyNumberFormat="1" applyFont="1" applyFill="1" applyBorder="1"/>
    <xf numFmtId="10" fontId="0" fillId="0" borderId="4" xfId="0" applyNumberFormat="1" applyFill="1" applyBorder="1"/>
    <xf numFmtId="2" fontId="0" fillId="0" borderId="4" xfId="0" applyNumberFormat="1" applyFill="1" applyBorder="1"/>
    <xf numFmtId="0" fontId="169" fillId="0" borderId="0" xfId="0" applyFont="1"/>
    <xf numFmtId="0" fontId="203" fillId="66" borderId="4" xfId="0" applyFont="1" applyFill="1" applyBorder="1"/>
    <xf numFmtId="0" fontId="197" fillId="0" borderId="4" xfId="0" applyFont="1" applyBorder="1"/>
    <xf numFmtId="4" fontId="197" fillId="0" borderId="4" xfId="0" applyNumberFormat="1" applyFont="1" applyBorder="1"/>
    <xf numFmtId="0" fontId="197" fillId="0" borderId="4" xfId="0" applyFont="1" applyFill="1" applyBorder="1"/>
    <xf numFmtId="171" fontId="197" fillId="0" borderId="4" xfId="0" applyNumberFormat="1" applyFont="1" applyBorder="1"/>
    <xf numFmtId="10" fontId="197" fillId="0" borderId="4" xfId="58" applyNumberFormat="1" applyFont="1" applyBorder="1"/>
    <xf numFmtId="173" fontId="197" fillId="0" borderId="4" xfId="0" applyNumberFormat="1" applyFont="1" applyBorder="1"/>
    <xf numFmtId="10" fontId="197" fillId="0" borderId="0" xfId="58" applyNumberFormat="1" applyFont="1"/>
    <xf numFmtId="173" fontId="197" fillId="0" borderId="0" xfId="0" applyNumberFormat="1" applyFont="1"/>
    <xf numFmtId="0" fontId="197" fillId="0" borderId="4" xfId="0" applyFont="1" applyBorder="1" applyAlignment="1"/>
    <xf numFmtId="172" fontId="197" fillId="0" borderId="0" xfId="58" applyNumberFormat="1" applyFont="1"/>
    <xf numFmtId="0" fontId="117" fillId="0" borderId="4" xfId="0" applyFont="1" applyFill="1" applyBorder="1" applyAlignment="1">
      <alignment horizontal="right" vertical="center"/>
    </xf>
    <xf numFmtId="1" fontId="117" fillId="0" borderId="4" xfId="0" applyNumberFormat="1" applyFont="1" applyFill="1" applyBorder="1" applyAlignment="1">
      <alignment horizontal="right" vertical="center"/>
    </xf>
    <xf numFmtId="171" fontId="117" fillId="0" borderId="4" xfId="72" applyNumberFormat="1" applyFont="1" applyFill="1" applyBorder="1" applyAlignment="1">
      <alignment horizontal="right" vertical="center"/>
    </xf>
    <xf numFmtId="0" fontId="117" fillId="0" borderId="4" xfId="0" applyFont="1" applyFill="1" applyBorder="1" applyAlignment="1">
      <alignment horizontal="right" vertical="center" wrapText="1"/>
    </xf>
    <xf numFmtId="1" fontId="114" fillId="9" borderId="4" xfId="0" applyNumberFormat="1" applyFont="1" applyFill="1" applyBorder="1" applyAlignment="1">
      <alignment horizontal="right" vertical="center"/>
    </xf>
    <xf numFmtId="0" fontId="114" fillId="0" borderId="4" xfId="0" applyFont="1" applyFill="1" applyBorder="1" applyAlignment="1">
      <alignment horizontal="right" vertical="center"/>
    </xf>
    <xf numFmtId="171" fontId="114" fillId="0" borderId="4" xfId="72" applyNumberFormat="1" applyFont="1" applyFill="1" applyBorder="1" applyAlignment="1">
      <alignment horizontal="right" vertical="center"/>
    </xf>
    <xf numFmtId="0" fontId="196" fillId="0" borderId="0" xfId="0" applyFont="1" applyAlignment="1">
      <alignment vertical="center"/>
    </xf>
    <xf numFmtId="205" fontId="125" fillId="0" borderId="4" xfId="72" applyNumberFormat="1" applyFont="1" applyBorder="1" applyAlignment="1">
      <alignment vertical="center"/>
    </xf>
    <xf numFmtId="0" fontId="125" fillId="0" borderId="4" xfId="0" applyFont="1" applyFill="1" applyBorder="1" applyAlignment="1">
      <alignment horizontal="center" vertical="center"/>
    </xf>
    <xf numFmtId="43" fontId="125" fillId="0" borderId="4" xfId="72" applyNumberFormat="1" applyFont="1" applyFill="1" applyBorder="1" applyAlignment="1"/>
    <xf numFmtId="1" fontId="197" fillId="0" borderId="4" xfId="0" applyNumberFormat="1" applyFont="1" applyBorder="1"/>
    <xf numFmtId="0" fontId="196" fillId="0" borderId="0" xfId="564" applyFont="1" applyFill="1" applyAlignment="1"/>
    <xf numFmtId="0" fontId="120" fillId="0" borderId="4" xfId="564" applyFont="1" applyBorder="1" applyAlignment="1">
      <alignment horizontal="left" wrapText="1"/>
    </xf>
    <xf numFmtId="2" fontId="119" fillId="9" borderId="12" xfId="564" applyNumberFormat="1" applyFont="1" applyFill="1" applyBorder="1"/>
    <xf numFmtId="2" fontId="119" fillId="9" borderId="29" xfId="564" applyNumberFormat="1" applyFont="1" applyFill="1" applyBorder="1"/>
    <xf numFmtId="165" fontId="125" fillId="0" borderId="0" xfId="0" applyNumberFormat="1" applyFont="1" applyFill="1" applyBorder="1" applyAlignment="1"/>
    <xf numFmtId="165" fontId="117" fillId="0" borderId="0" xfId="0" applyNumberFormat="1" applyFont="1" applyAlignment="1">
      <alignment vertical="top"/>
    </xf>
    <xf numFmtId="2" fontId="120" fillId="0" borderId="0" xfId="0" applyNumberFormat="1" applyFont="1" applyFill="1" applyAlignment="1"/>
    <xf numFmtId="0" fontId="119" fillId="0" borderId="0" xfId="0" applyFont="1" applyFill="1" applyAlignment="1">
      <alignment wrapText="1"/>
    </xf>
    <xf numFmtId="2" fontId="119" fillId="0" borderId="0" xfId="0" applyNumberFormat="1" applyFont="1" applyFill="1" applyAlignment="1"/>
    <xf numFmtId="0" fontId="125" fillId="0" borderId="0" xfId="0" applyFont="1" applyAlignment="1"/>
    <xf numFmtId="2" fontId="125" fillId="0" borderId="0" xfId="0" applyNumberFormat="1" applyFont="1" applyAlignment="1"/>
    <xf numFmtId="0" fontId="125" fillId="0" borderId="0" xfId="0" applyFont="1" applyFill="1" applyAlignment="1">
      <alignment vertical="top"/>
    </xf>
    <xf numFmtId="0" fontId="209" fillId="5" borderId="0" xfId="0" applyFont="1" applyFill="1" applyBorder="1" applyAlignment="1">
      <alignment vertical="top"/>
    </xf>
    <xf numFmtId="0" fontId="211" fillId="5" borderId="0" xfId="0" applyFont="1" applyFill="1" applyBorder="1" applyAlignment="1">
      <alignment vertical="top"/>
    </xf>
    <xf numFmtId="0" fontId="209" fillId="0" borderId="0" xfId="0" applyFont="1" applyFill="1" applyBorder="1" applyAlignment="1">
      <alignment horizontal="center" vertical="top"/>
    </xf>
    <xf numFmtId="0" fontId="209" fillId="0" borderId="0" xfId="0" applyFont="1" applyFill="1" applyBorder="1" applyAlignment="1">
      <alignment horizontal="left" vertical="top" wrapText="1"/>
    </xf>
    <xf numFmtId="0" fontId="211" fillId="0" borderId="4" xfId="17" applyFont="1" applyFill="1" applyBorder="1" applyAlignment="1">
      <alignment horizontal="center" vertical="top" wrapText="1"/>
    </xf>
    <xf numFmtId="0" fontId="211" fillId="0" borderId="4" xfId="17" applyFont="1" applyFill="1" applyBorder="1" applyAlignment="1">
      <alignment horizontal="center" vertical="top"/>
    </xf>
    <xf numFmtId="0" fontId="211" fillId="8" borderId="4" xfId="17" applyFont="1" applyFill="1" applyBorder="1" applyAlignment="1">
      <alignment horizontal="center" vertical="top" wrapText="1"/>
    </xf>
    <xf numFmtId="0" fontId="211" fillId="9" borderId="11" xfId="17" applyFont="1" applyFill="1" applyBorder="1" applyAlignment="1">
      <alignment horizontal="center" vertical="top" wrapText="1"/>
    </xf>
    <xf numFmtId="0" fontId="212" fillId="0" borderId="4" xfId="17" applyNumberFormat="1" applyFont="1" applyFill="1" applyBorder="1" applyAlignment="1">
      <alignment horizontal="center" vertical="top"/>
    </xf>
    <xf numFmtId="0" fontId="214" fillId="0" borderId="4" xfId="17" applyFont="1" applyFill="1" applyBorder="1" applyAlignment="1">
      <alignment horizontal="left" vertical="top" wrapText="1"/>
    </xf>
    <xf numFmtId="0" fontId="215" fillId="0" borderId="4" xfId="17" applyFont="1" applyFill="1" applyBorder="1" applyAlignment="1">
      <alignment horizontal="center" vertical="top"/>
    </xf>
    <xf numFmtId="0" fontId="212" fillId="0" borderId="4" xfId="17" applyFont="1" applyFill="1" applyBorder="1" applyAlignment="1">
      <alignment vertical="top"/>
    </xf>
    <xf numFmtId="2" fontId="156" fillId="0" borderId="4" xfId="0" applyNumberFormat="1" applyFont="1" applyBorder="1" applyAlignment="1">
      <alignment vertical="top"/>
    </xf>
    <xf numFmtId="0" fontId="214" fillId="0" borderId="4" xfId="17" applyFont="1" applyFill="1" applyBorder="1" applyAlignment="1">
      <alignment horizontal="center" vertical="top"/>
    </xf>
    <xf numFmtId="2" fontId="158" fillId="0" borderId="0" xfId="0" applyNumberFormat="1" applyFont="1" applyAlignment="1">
      <alignment vertical="top"/>
    </xf>
    <xf numFmtId="0" fontId="156" fillId="0" borderId="4" xfId="0" applyFont="1" applyBorder="1" applyAlignment="1">
      <alignment vertical="top"/>
    </xf>
    <xf numFmtId="10" fontId="212" fillId="0" borderId="4" xfId="58" applyNumberFormat="1" applyFont="1" applyFill="1" applyBorder="1" applyAlignment="1">
      <alignment horizontal="right" vertical="top"/>
    </xf>
    <xf numFmtId="2" fontId="156" fillId="0" borderId="4" xfId="0" applyNumberFormat="1" applyFont="1" applyBorder="1" applyAlignment="1">
      <alignment horizontal="center" vertical="top"/>
    </xf>
    <xf numFmtId="173" fontId="212" fillId="0" borderId="4" xfId="58" applyNumberFormat="1" applyFont="1" applyFill="1" applyBorder="1" applyAlignment="1">
      <alignment horizontal="right" vertical="top"/>
    </xf>
    <xf numFmtId="174" fontId="156" fillId="0" borderId="4" xfId="0" applyNumberFormat="1" applyFont="1" applyBorder="1" applyAlignment="1">
      <alignment vertical="top"/>
    </xf>
    <xf numFmtId="0" fontId="214" fillId="0" borderId="4" xfId="17" applyFont="1" applyFill="1" applyBorder="1" applyAlignment="1">
      <alignment horizontal="justify" vertical="top" wrapText="1"/>
    </xf>
    <xf numFmtId="0" fontId="211" fillId="0" borderId="4" xfId="17" applyFont="1" applyFill="1" applyBorder="1" applyAlignment="1">
      <alignment horizontal="justify" vertical="top"/>
    </xf>
    <xf numFmtId="43" fontId="156" fillId="0" borderId="4" xfId="0" applyNumberFormat="1" applyFont="1" applyBorder="1" applyAlignment="1">
      <alignment vertical="top"/>
    </xf>
    <xf numFmtId="0" fontId="212" fillId="0" borderId="4" xfId="0" applyFont="1" applyFill="1" applyBorder="1" applyAlignment="1">
      <alignment vertical="top"/>
    </xf>
    <xf numFmtId="0" fontId="211" fillId="0" borderId="4" xfId="17" applyFont="1" applyFill="1" applyBorder="1" applyAlignment="1">
      <alignment vertical="top" wrapText="1"/>
    </xf>
    <xf numFmtId="0" fontId="212" fillId="0" borderId="4" xfId="17" applyNumberFormat="1" applyFont="1" applyFill="1" applyBorder="1" applyAlignment="1">
      <alignment vertical="top"/>
    </xf>
    <xf numFmtId="0" fontId="212" fillId="0" borderId="4" xfId="17" applyFont="1" applyFill="1" applyBorder="1" applyAlignment="1">
      <alignment vertical="top" wrapText="1"/>
    </xf>
    <xf numFmtId="0" fontId="212" fillId="0" borderId="4" xfId="17" applyFont="1" applyFill="1" applyBorder="1" applyAlignment="1">
      <alignment horizontal="center" vertical="top"/>
    </xf>
    <xf numFmtId="43" fontId="212" fillId="0" borderId="4" xfId="72" applyFont="1" applyFill="1" applyBorder="1" applyAlignment="1">
      <alignment vertical="top"/>
    </xf>
    <xf numFmtId="0" fontId="212" fillId="0" borderId="133" xfId="17" applyFont="1" applyFill="1" applyBorder="1" applyAlignment="1">
      <alignment vertical="top" wrapText="1"/>
    </xf>
    <xf numFmtId="0" fontId="212" fillId="0" borderId="133" xfId="17" applyFont="1" applyFill="1" applyBorder="1" applyAlignment="1">
      <alignment horizontal="center" vertical="top"/>
    </xf>
    <xf numFmtId="43" fontId="212" fillId="0" borderId="133" xfId="72" applyFont="1" applyFill="1" applyBorder="1" applyAlignment="1">
      <alignment vertical="top"/>
    </xf>
    <xf numFmtId="0" fontId="211" fillId="0" borderId="26" xfId="17" applyFont="1" applyFill="1" applyBorder="1" applyAlignment="1">
      <alignment vertical="top" wrapText="1"/>
    </xf>
    <xf numFmtId="0" fontId="211" fillId="0" borderId="26" xfId="17" applyFont="1" applyFill="1" applyBorder="1" applyAlignment="1">
      <alignment horizontal="center" vertical="top"/>
    </xf>
    <xf numFmtId="43" fontId="211" fillId="0" borderId="26" xfId="72" applyFont="1" applyFill="1" applyBorder="1" applyAlignment="1">
      <alignment vertical="top"/>
    </xf>
    <xf numFmtId="43" fontId="211" fillId="0" borderId="4" xfId="72" applyFont="1" applyFill="1" applyBorder="1" applyAlignment="1">
      <alignment vertical="top"/>
    </xf>
    <xf numFmtId="43" fontId="216" fillId="0" borderId="4" xfId="72" applyFont="1" applyFill="1" applyBorder="1" applyAlignment="1">
      <alignment vertical="top"/>
    </xf>
    <xf numFmtId="43" fontId="212" fillId="0" borderId="4" xfId="17" applyNumberFormat="1" applyFont="1" applyFill="1" applyBorder="1" applyAlignment="1">
      <alignment vertical="top"/>
    </xf>
    <xf numFmtId="43" fontId="212" fillId="0" borderId="0" xfId="72" applyFont="1" applyFill="1" applyBorder="1" applyAlignment="1">
      <alignment vertical="top"/>
    </xf>
    <xf numFmtId="0" fontId="216" fillId="0" borderId="0" xfId="0" applyFont="1" applyFill="1" applyAlignment="1">
      <alignment vertical="top"/>
    </xf>
    <xf numFmtId="0" fontId="211" fillId="0" borderId="10" xfId="17" applyFont="1" applyFill="1" applyBorder="1" applyAlignment="1">
      <alignment horizontal="center" vertical="top"/>
    </xf>
    <xf numFmtId="0" fontId="211" fillId="0" borderId="164" xfId="17" applyFont="1" applyFill="1" applyBorder="1" applyAlignment="1">
      <alignment vertical="top" wrapText="1"/>
    </xf>
    <xf numFmtId="0" fontId="211" fillId="0" borderId="164" xfId="17" applyFont="1" applyFill="1" applyBorder="1" applyAlignment="1">
      <alignment horizontal="center" vertical="top"/>
    </xf>
    <xf numFmtId="43" fontId="211" fillId="0" borderId="164" xfId="72" applyFont="1" applyFill="1" applyBorder="1" applyAlignment="1">
      <alignment horizontal="center" vertical="top"/>
    </xf>
    <xf numFmtId="171" fontId="211" fillId="0" borderId="164" xfId="72" applyNumberFormat="1" applyFont="1" applyFill="1" applyBorder="1" applyAlignment="1">
      <alignment horizontal="center" vertical="top"/>
    </xf>
    <xf numFmtId="0" fontId="212" fillId="0" borderId="133" xfId="17" applyNumberFormat="1" applyFont="1" applyFill="1" applyBorder="1" applyAlignment="1">
      <alignment vertical="top"/>
    </xf>
    <xf numFmtId="0" fontId="212" fillId="0" borderId="133" xfId="0" applyFont="1" applyFill="1" applyBorder="1" applyAlignment="1">
      <alignment vertical="top"/>
    </xf>
    <xf numFmtId="9" fontId="125" fillId="0" borderId="0" xfId="58" applyFont="1" applyFill="1" applyAlignment="1">
      <alignment vertical="top"/>
    </xf>
    <xf numFmtId="43" fontId="211" fillId="0" borderId="26" xfId="17" applyNumberFormat="1" applyFont="1" applyFill="1" applyBorder="1" applyAlignment="1">
      <alignment vertical="top"/>
    </xf>
    <xf numFmtId="171" fontId="211" fillId="0" borderId="26" xfId="72" applyNumberFormat="1" applyFont="1" applyFill="1" applyBorder="1" applyAlignment="1">
      <alignment vertical="top"/>
    </xf>
    <xf numFmtId="2" fontId="211" fillId="0" borderId="26" xfId="17" applyNumberFormat="1" applyFont="1" applyFill="1" applyBorder="1" applyAlignment="1">
      <alignment vertical="top"/>
    </xf>
    <xf numFmtId="0" fontId="211" fillId="0" borderId="29" xfId="17" applyFont="1" applyFill="1" applyBorder="1" applyAlignment="1">
      <alignment vertical="top" wrapText="1"/>
    </xf>
    <xf numFmtId="0" fontId="211" fillId="0" borderId="29" xfId="17" applyFont="1" applyFill="1" applyBorder="1" applyAlignment="1">
      <alignment horizontal="center" vertical="top"/>
    </xf>
    <xf numFmtId="43" fontId="211" fillId="0" borderId="29" xfId="72" applyFont="1" applyFill="1" applyBorder="1" applyAlignment="1">
      <alignment vertical="top"/>
    </xf>
    <xf numFmtId="171" fontId="211" fillId="0" borderId="29" xfId="72" applyNumberFormat="1" applyFont="1" applyFill="1" applyBorder="1" applyAlignment="1">
      <alignment vertical="top"/>
    </xf>
    <xf numFmtId="2" fontId="125" fillId="0" borderId="0" xfId="0" applyNumberFormat="1" applyFont="1" applyFill="1" applyAlignment="1">
      <alignment vertical="top"/>
    </xf>
    <xf numFmtId="0" fontId="125" fillId="0" borderId="0" xfId="0" applyFont="1" applyFill="1" applyAlignment="1">
      <alignment horizontal="center" vertical="top"/>
    </xf>
    <xf numFmtId="0" fontId="120" fillId="0" borderId="0" xfId="0" applyFont="1" applyFill="1" applyBorder="1" applyAlignment="1">
      <alignment vertical="top" wrapText="1"/>
    </xf>
    <xf numFmtId="0" fontId="120" fillId="0" borderId="0" xfId="0" applyFont="1" applyFill="1" applyBorder="1" applyAlignment="1">
      <alignment horizontal="center" vertical="top"/>
    </xf>
    <xf numFmtId="43" fontId="120" fillId="0" borderId="0" xfId="0" applyNumberFormat="1" applyFont="1" applyFill="1" applyBorder="1" applyAlignment="1">
      <alignment vertical="top"/>
    </xf>
    <xf numFmtId="0" fontId="120" fillId="0" borderId="0" xfId="0" applyFont="1" applyFill="1" applyBorder="1" applyAlignment="1">
      <alignment vertical="top"/>
    </xf>
    <xf numFmtId="9" fontId="120" fillId="0" borderId="0" xfId="58" applyFont="1" applyFill="1" applyBorder="1" applyAlignment="1">
      <alignment vertical="top"/>
    </xf>
    <xf numFmtId="0" fontId="125" fillId="0" borderId="0" xfId="0" applyFont="1" applyFill="1" applyAlignment="1">
      <alignment vertical="top" wrapText="1"/>
    </xf>
    <xf numFmtId="43" fontId="125" fillId="0" borderId="0" xfId="0" applyNumberFormat="1" applyFont="1" applyFill="1" applyAlignment="1">
      <alignment vertical="top"/>
    </xf>
    <xf numFmtId="0" fontId="125" fillId="0" borderId="0" xfId="0" applyFont="1" applyFill="1" applyBorder="1" applyAlignment="1">
      <alignment horizontal="center" vertical="top"/>
    </xf>
    <xf numFmtId="0" fontId="125" fillId="0" borderId="0" xfId="0" applyFont="1" applyFill="1" applyBorder="1" applyAlignment="1">
      <alignment vertical="top" wrapText="1"/>
    </xf>
    <xf numFmtId="0" fontId="125" fillId="0" borderId="0" xfId="0" applyFont="1" applyFill="1" applyBorder="1" applyAlignment="1">
      <alignment vertical="top"/>
    </xf>
    <xf numFmtId="0" fontId="125" fillId="0" borderId="10" xfId="0" applyFont="1" applyFill="1" applyBorder="1" applyAlignment="1">
      <alignment horizontal="center" vertical="top"/>
    </xf>
    <xf numFmtId="0" fontId="125" fillId="0" borderId="4" xfId="0" applyFont="1" applyFill="1" applyBorder="1" applyAlignment="1">
      <alignment vertical="top" wrapText="1"/>
    </xf>
    <xf numFmtId="0" fontId="125" fillId="0" borderId="134" xfId="0" applyFont="1" applyFill="1" applyBorder="1" applyAlignment="1">
      <alignment horizontal="left" vertical="top"/>
    </xf>
    <xf numFmtId="0" fontId="125" fillId="0" borderId="134" xfId="0" applyFont="1" applyFill="1" applyBorder="1" applyAlignment="1">
      <alignment vertical="top"/>
    </xf>
    <xf numFmtId="0" fontId="125" fillId="0" borderId="20" xfId="0" applyFont="1" applyFill="1" applyBorder="1" applyAlignment="1">
      <alignment vertical="top"/>
    </xf>
    <xf numFmtId="165" fontId="125" fillId="0" borderId="0" xfId="0" applyNumberFormat="1" applyFont="1" applyFill="1" applyAlignment="1">
      <alignment vertical="top"/>
    </xf>
    <xf numFmtId="0" fontId="120" fillId="0" borderId="133" xfId="0" applyFont="1" applyBorder="1" applyAlignment="1">
      <alignment horizontal="center" vertical="center" wrapText="1"/>
    </xf>
    <xf numFmtId="0" fontId="119" fillId="0" borderId="4" xfId="17" applyFont="1" applyFill="1" applyBorder="1" applyAlignment="1">
      <alignment horizontal="center" vertical="center" wrapText="1"/>
    </xf>
    <xf numFmtId="0" fontId="126" fillId="0" borderId="4" xfId="0" applyFont="1" applyBorder="1" applyAlignment="1">
      <alignment horizontal="center"/>
    </xf>
    <xf numFmtId="0" fontId="126" fillId="0" borderId="0" xfId="0" applyFont="1" applyFill="1" applyBorder="1" applyAlignment="1">
      <alignment horizontal="left" vertical="center"/>
    </xf>
    <xf numFmtId="0" fontId="114" fillId="0" borderId="4" xfId="0" applyFont="1" applyBorder="1" applyAlignment="1">
      <alignment horizontal="center" vertical="center" wrapText="1"/>
    </xf>
    <xf numFmtId="0" fontId="122" fillId="0" borderId="4" xfId="0" applyFont="1" applyFill="1" applyBorder="1" applyAlignment="1">
      <alignment horizontal="center" vertical="center" wrapText="1"/>
    </xf>
    <xf numFmtId="0" fontId="117" fillId="13" borderId="134" xfId="0" applyFont="1" applyFill="1" applyBorder="1" applyAlignment="1"/>
    <xf numFmtId="0" fontId="117" fillId="0" borderId="0" xfId="0" applyFont="1" applyAlignment="1">
      <alignment horizontal="center"/>
    </xf>
    <xf numFmtId="0" fontId="117" fillId="0" borderId="0" xfId="0" applyFont="1" applyAlignment="1"/>
    <xf numFmtId="0" fontId="122" fillId="0" borderId="4" xfId="564" applyFont="1" applyFill="1" applyBorder="1" applyAlignment="1">
      <alignment horizontal="center" vertical="center" wrapText="1"/>
    </xf>
    <xf numFmtId="0" fontId="114" fillId="0" borderId="133" xfId="0" applyFont="1" applyBorder="1" applyAlignment="1">
      <alignment horizontal="center" vertical="center" wrapText="1"/>
    </xf>
    <xf numFmtId="0" fontId="0" fillId="65" borderId="159" xfId="0" applyFill="1" applyBorder="1" applyAlignment="1">
      <alignment horizontal="center" vertical="top" wrapText="1"/>
    </xf>
    <xf numFmtId="2" fontId="146" fillId="0" borderId="159" xfId="0" applyNumberFormat="1" applyFont="1" applyFill="1" applyBorder="1" applyAlignment="1">
      <alignment horizontal="center" vertical="top" shrinkToFit="1"/>
    </xf>
    <xf numFmtId="169" fontId="146" fillId="0" borderId="159" xfId="0" applyNumberFormat="1" applyFont="1" applyFill="1" applyBorder="1" applyAlignment="1">
      <alignment horizontal="center" vertical="center" shrinkToFit="1"/>
    </xf>
    <xf numFmtId="2" fontId="147" fillId="0" borderId="159" xfId="0" applyNumberFormat="1" applyFont="1" applyFill="1" applyBorder="1" applyAlignment="1">
      <alignment horizontal="center" vertical="center" shrinkToFit="1"/>
    </xf>
    <xf numFmtId="2" fontId="147" fillId="0" borderId="159" xfId="0" applyNumberFormat="1" applyFont="1" applyFill="1" applyBorder="1" applyAlignment="1">
      <alignment horizontal="center" vertical="top" shrinkToFit="1"/>
    </xf>
    <xf numFmtId="10" fontId="147" fillId="0" borderId="159" xfId="0" applyNumberFormat="1" applyFont="1" applyFill="1" applyBorder="1" applyAlignment="1">
      <alignment horizontal="center" vertical="top" shrinkToFit="1"/>
    </xf>
    <xf numFmtId="0" fontId="145" fillId="0" borderId="159" xfId="0" applyFont="1" applyFill="1" applyBorder="1" applyAlignment="1">
      <alignment horizontal="center" vertical="center" wrapText="1"/>
    </xf>
    <xf numFmtId="0" fontId="117" fillId="0" borderId="4" xfId="0" applyFont="1" applyBorder="1" applyAlignment="1">
      <alignment horizontal="center" vertical="center"/>
    </xf>
    <xf numFmtId="0" fontId="126" fillId="0" borderId="4" xfId="0" applyFont="1" applyFill="1" applyBorder="1" applyAlignment="1">
      <alignment horizontal="center" vertical="center" wrapText="1"/>
    </xf>
    <xf numFmtId="0" fontId="122" fillId="0" borderId="4" xfId="0" applyFont="1" applyFill="1" applyBorder="1" applyAlignment="1">
      <alignment horizontal="center" wrapText="1"/>
    </xf>
    <xf numFmtId="0" fontId="123" fillId="0" borderId="134" xfId="0" applyFont="1" applyFill="1" applyBorder="1" applyAlignment="1"/>
    <xf numFmtId="0" fontId="122" fillId="0" borderId="4" xfId="0" applyFont="1" applyFill="1" applyBorder="1" applyAlignment="1">
      <alignment horizontal="center" vertical="center"/>
    </xf>
    <xf numFmtId="0" fontId="114" fillId="0" borderId="4" xfId="0" applyFont="1" applyBorder="1" applyAlignment="1">
      <alignment horizontal="center" vertical="center" wrapText="1"/>
    </xf>
    <xf numFmtId="0" fontId="117" fillId="0" borderId="0" xfId="0" applyFont="1" applyAlignment="1">
      <alignment horizontal="center"/>
    </xf>
    <xf numFmtId="0" fontId="114" fillId="0" borderId="4" xfId="0" applyFont="1" applyBorder="1" applyAlignment="1">
      <alignment horizontal="center" vertical="center"/>
    </xf>
    <xf numFmtId="0" fontId="125" fillId="0" borderId="4" xfId="0" applyFont="1" applyBorder="1" applyAlignment="1">
      <alignment horizontal="center" vertical="top"/>
    </xf>
    <xf numFmtId="0" fontId="12" fillId="0" borderId="0" xfId="0" applyFont="1" applyBorder="1" applyAlignment="1">
      <alignment horizontal="left"/>
    </xf>
    <xf numFmtId="0" fontId="126" fillId="0" borderId="11" xfId="0" applyFont="1" applyFill="1" applyBorder="1" applyAlignment="1">
      <alignment vertical="center"/>
    </xf>
    <xf numFmtId="0" fontId="126" fillId="0" borderId="11" xfId="0" applyFont="1" applyFill="1" applyBorder="1"/>
    <xf numFmtId="0" fontId="126" fillId="0" borderId="4" xfId="0" applyFont="1" applyFill="1" applyBorder="1" applyAlignment="1">
      <alignment vertical="center"/>
    </xf>
    <xf numFmtId="4" fontId="217" fillId="0" borderId="161" xfId="0" applyNumberFormat="1" applyFont="1" applyFill="1" applyBorder="1" applyAlignment="1">
      <alignment horizontal="right" vertical="center" wrapText="1"/>
    </xf>
    <xf numFmtId="0" fontId="217" fillId="0" borderId="161" xfId="0" applyFont="1" applyFill="1" applyBorder="1" applyAlignment="1">
      <alignment horizontal="right" vertical="center" wrapText="1"/>
    </xf>
    <xf numFmtId="2" fontId="217" fillId="0" borderId="161" xfId="0" applyNumberFormat="1" applyFont="1" applyFill="1" applyBorder="1" applyAlignment="1">
      <alignment horizontal="right" vertical="center" wrapText="1"/>
    </xf>
    <xf numFmtId="0" fontId="126" fillId="0" borderId="133" xfId="0" applyFont="1" applyFill="1" applyBorder="1" applyAlignment="1">
      <alignment vertical="center"/>
    </xf>
    <xf numFmtId="43" fontId="125" fillId="0" borderId="133" xfId="72" applyFont="1" applyFill="1" applyBorder="1" applyAlignment="1">
      <alignment vertical="center"/>
    </xf>
    <xf numFmtId="43" fontId="125" fillId="0" borderId="11" xfId="72" applyFont="1" applyFill="1" applyBorder="1" applyAlignment="1">
      <alignment vertical="center"/>
    </xf>
    <xf numFmtId="171" fontId="126" fillId="0" borderId="4" xfId="72" applyNumberFormat="1" applyFont="1" applyFill="1" applyBorder="1" applyAlignment="1">
      <alignment vertical="center"/>
    </xf>
    <xf numFmtId="0" fontId="126" fillId="0" borderId="0" xfId="0" applyFont="1" applyFill="1" applyBorder="1" applyAlignment="1">
      <alignment vertical="center"/>
    </xf>
    <xf numFmtId="0" fontId="126" fillId="0" borderId="0" xfId="0" applyFont="1" applyFill="1" applyBorder="1"/>
    <xf numFmtId="1" fontId="126" fillId="0" borderId="0" xfId="0" applyNumberFormat="1" applyFont="1" applyFill="1" applyBorder="1"/>
    <xf numFmtId="1" fontId="126" fillId="0" borderId="0" xfId="0" applyNumberFormat="1" applyFont="1" applyFill="1"/>
    <xf numFmtId="0" fontId="119" fillId="0" borderId="11" xfId="17" applyFont="1" applyFill="1" applyBorder="1" applyAlignment="1">
      <alignment horizontal="center" vertical="center" wrapText="1"/>
    </xf>
    <xf numFmtId="0" fontId="126" fillId="0" borderId="4" xfId="0" applyFont="1" applyFill="1" applyBorder="1"/>
    <xf numFmtId="1" fontId="217" fillId="0" borderId="161" xfId="0" applyNumberFormat="1" applyFont="1" applyFill="1" applyBorder="1" applyAlignment="1">
      <alignment horizontal="right" vertical="center" wrapText="1"/>
    </xf>
    <xf numFmtId="171" fontId="125" fillId="0" borderId="4" xfId="72" applyNumberFormat="1" applyFont="1" applyFill="1" applyBorder="1" applyAlignment="1">
      <alignment horizontal="center" vertical="center"/>
    </xf>
    <xf numFmtId="3" fontId="217" fillId="0" borderId="161" xfId="0" applyNumberFormat="1" applyFont="1" applyFill="1" applyBorder="1" applyAlignment="1">
      <alignment horizontal="right" vertical="center" wrapText="1"/>
    </xf>
    <xf numFmtId="171" fontId="125" fillId="0" borderId="4" xfId="72" applyNumberFormat="1" applyFont="1" applyFill="1" applyBorder="1"/>
    <xf numFmtId="171" fontId="126" fillId="0" borderId="4" xfId="72" applyNumberFormat="1" applyFont="1" applyFill="1" applyBorder="1"/>
    <xf numFmtId="0" fontId="196" fillId="0" borderId="0" xfId="0" applyFont="1"/>
    <xf numFmtId="43" fontId="125" fillId="9" borderId="4" xfId="72" applyFont="1" applyFill="1" applyBorder="1" applyAlignment="1">
      <alignment vertical="center"/>
    </xf>
    <xf numFmtId="171" fontId="126" fillId="0" borderId="4" xfId="0" applyNumberFormat="1" applyFont="1" applyFill="1" applyBorder="1"/>
    <xf numFmtId="43" fontId="119" fillId="12" borderId="28" xfId="72" applyFont="1" applyFill="1" applyBorder="1" applyAlignment="1">
      <alignment vertical="center"/>
    </xf>
    <xf numFmtId="0" fontId="119" fillId="12" borderId="28" xfId="0" applyFont="1" applyFill="1" applyBorder="1" applyAlignment="1"/>
    <xf numFmtId="165" fontId="125" fillId="0" borderId="0" xfId="0" applyNumberFormat="1" applyFont="1" applyAlignment="1">
      <alignment vertical="center" wrapText="1"/>
    </xf>
    <xf numFmtId="46" fontId="117" fillId="0" borderId="4" xfId="0" quotePrefix="1" applyNumberFormat="1" applyFont="1" applyBorder="1" applyAlignment="1">
      <alignment horizontal="center"/>
    </xf>
    <xf numFmtId="0" fontId="122" fillId="0" borderId="0" xfId="0" applyFont="1" applyFill="1" applyBorder="1" applyAlignment="1">
      <alignment horizontal="center" vertical="center" wrapText="1"/>
    </xf>
    <xf numFmtId="0" fontId="123" fillId="0" borderId="0" xfId="0" applyFont="1" applyBorder="1" applyAlignment="1">
      <alignment horizontal="justify" vertical="center" wrapText="1"/>
    </xf>
    <xf numFmtId="0" fontId="123" fillId="0" borderId="11" xfId="0" applyFont="1" applyBorder="1" applyAlignment="1">
      <alignment horizontal="justify" vertical="center" wrapText="1"/>
    </xf>
    <xf numFmtId="0" fontId="139" fillId="12" borderId="4" xfId="0" applyFont="1" applyFill="1" applyBorder="1" applyAlignment="1">
      <alignment horizontal="justify" vertical="center" wrapText="1"/>
    </xf>
    <xf numFmtId="10" fontId="133" fillId="0" borderId="4" xfId="0" applyNumberFormat="1" applyFont="1" applyFill="1" applyBorder="1" applyAlignment="1">
      <alignment horizontal="center" vertical="center"/>
    </xf>
    <xf numFmtId="9" fontId="133" fillId="0" borderId="4" xfId="0" applyNumberFormat="1" applyFont="1" applyFill="1" applyBorder="1" applyAlignment="1">
      <alignment horizontal="center"/>
    </xf>
    <xf numFmtId="0" fontId="10" fillId="0" borderId="4" xfId="0" applyFont="1" applyBorder="1" applyAlignment="1">
      <alignment horizontal="center" wrapText="1"/>
    </xf>
    <xf numFmtId="43" fontId="113" fillId="0" borderId="4" xfId="72" applyFont="1" applyFill="1" applyBorder="1" applyAlignment="1">
      <alignment vertical="center"/>
    </xf>
    <xf numFmtId="43" fontId="113" fillId="0" borderId="4" xfId="72" applyFont="1" applyFill="1" applyBorder="1" applyAlignment="1">
      <alignment vertical="center" wrapText="1"/>
    </xf>
    <xf numFmtId="0" fontId="0" fillId="0" borderId="4" xfId="0" applyFont="1" applyFill="1" applyBorder="1" applyAlignment="1"/>
    <xf numFmtId="0" fontId="0" fillId="0" borderId="0" xfId="0" applyFont="1" applyFill="1" applyAlignment="1"/>
    <xf numFmtId="0" fontId="115" fillId="0" borderId="4" xfId="0" applyFont="1" applyBorder="1" applyAlignment="1">
      <alignment horizontal="center"/>
    </xf>
    <xf numFmtId="43" fontId="115" fillId="0" borderId="4" xfId="72" applyFont="1" applyFill="1" applyBorder="1" applyAlignment="1">
      <alignment vertical="center"/>
    </xf>
    <xf numFmtId="43" fontId="115" fillId="0" borderId="4" xfId="72" applyFont="1" applyFill="1" applyBorder="1" applyAlignment="1">
      <alignment vertical="center" wrapText="1"/>
    </xf>
    <xf numFmtId="0" fontId="10" fillId="0" borderId="0" xfId="0" applyFont="1" applyAlignment="1"/>
    <xf numFmtId="43" fontId="0" fillId="0" borderId="0" xfId="0" applyNumberFormat="1" applyFont="1" applyFill="1" applyAlignment="1"/>
    <xf numFmtId="0" fontId="122" fillId="0" borderId="0" xfId="17" applyFont="1" applyFill="1" applyBorder="1" applyAlignment="1">
      <alignment horizontal="right"/>
    </xf>
    <xf numFmtId="0" fontId="114" fillId="0" borderId="4" xfId="0" applyFont="1" applyFill="1" applyBorder="1" applyAlignment="1">
      <alignment horizontal="center" vertical="center"/>
    </xf>
    <xf numFmtId="0" fontId="114" fillId="0" borderId="4" xfId="0" applyFont="1" applyFill="1" applyBorder="1" applyAlignment="1">
      <alignment horizontal="center" vertical="center" wrapText="1"/>
    </xf>
    <xf numFmtId="0" fontId="117" fillId="0" borderId="4" xfId="0" applyFont="1" applyFill="1" applyBorder="1" applyAlignment="1">
      <alignment horizontal="center"/>
    </xf>
    <xf numFmtId="0" fontId="117" fillId="0" borderId="4" xfId="0" applyFont="1" applyFill="1" applyBorder="1" applyAlignment="1">
      <alignment horizontal="center" wrapText="1"/>
    </xf>
    <xf numFmtId="0" fontId="117" fillId="0" borderId="4" xfId="0" applyFont="1" applyFill="1" applyBorder="1"/>
    <xf numFmtId="0" fontId="117" fillId="0" borderId="4" xfId="0" applyFont="1" applyFill="1" applyBorder="1" applyAlignment="1">
      <alignment wrapText="1"/>
    </xf>
    <xf numFmtId="2" fontId="117" fillId="0" borderId="4" xfId="0" applyNumberFormat="1" applyFont="1" applyFill="1" applyBorder="1"/>
    <xf numFmtId="2" fontId="117" fillId="0" borderId="4" xfId="0" applyNumberFormat="1" applyFont="1" applyFill="1" applyBorder="1" applyAlignment="1"/>
    <xf numFmtId="0" fontId="117" fillId="0" borderId="0" xfId="0" applyFont="1" applyFill="1" applyBorder="1"/>
    <xf numFmtId="0" fontId="117" fillId="0" borderId="0" xfId="0" applyFont="1" applyFill="1" applyBorder="1" applyAlignment="1">
      <alignment wrapText="1"/>
    </xf>
    <xf numFmtId="2" fontId="114" fillId="0" borderId="0" xfId="0" applyNumberFormat="1" applyFont="1" applyFill="1" applyBorder="1"/>
    <xf numFmtId="43" fontId="117" fillId="0" borderId="4" xfId="72" applyFont="1" applyFill="1" applyBorder="1"/>
    <xf numFmtId="2" fontId="117" fillId="0" borderId="0" xfId="0" applyNumberFormat="1" applyFont="1" applyFill="1" applyBorder="1" applyAlignment="1"/>
    <xf numFmtId="0" fontId="117" fillId="0" borderId="4" xfId="0" applyFont="1" applyFill="1" applyBorder="1" applyAlignment="1">
      <alignment horizontal="center" vertical="center"/>
    </xf>
    <xf numFmtId="49" fontId="122" fillId="0" borderId="4" xfId="0" applyNumberFormat="1" applyFont="1" applyFill="1" applyBorder="1" applyAlignment="1">
      <alignment horizontal="center" vertical="center" wrapText="1"/>
    </xf>
    <xf numFmtId="0" fontId="117" fillId="0" borderId="11" xfId="0" applyFont="1" applyFill="1" applyBorder="1" applyAlignment="1"/>
    <xf numFmtId="0" fontId="117" fillId="0" borderId="11" xfId="0" applyFont="1" applyFill="1" applyBorder="1" applyAlignment="1">
      <alignment wrapText="1"/>
    </xf>
    <xf numFmtId="0" fontId="117" fillId="0" borderId="19" xfId="0" applyFont="1" applyFill="1" applyBorder="1" applyAlignment="1"/>
    <xf numFmtId="0" fontId="117" fillId="0" borderId="27" xfId="0" applyFont="1" applyFill="1" applyBorder="1" applyAlignment="1"/>
    <xf numFmtId="0" fontId="117" fillId="0" borderId="134" xfId="0" applyFont="1" applyFill="1" applyBorder="1" applyAlignment="1"/>
    <xf numFmtId="0" fontId="117" fillId="0" borderId="20" xfId="0" applyFont="1" applyFill="1" applyBorder="1" applyAlignment="1"/>
    <xf numFmtId="0" fontId="117" fillId="0" borderId="0" xfId="0" applyFont="1" applyFill="1" applyAlignment="1">
      <alignment horizontal="left"/>
    </xf>
    <xf numFmtId="0" fontId="117" fillId="0" borderId="4" xfId="0" applyFont="1" applyFill="1" applyBorder="1" applyAlignment="1">
      <alignment horizontal="center" vertical="center" wrapText="1"/>
    </xf>
    <xf numFmtId="0" fontId="114" fillId="0" borderId="4" xfId="0" applyFont="1" applyFill="1" applyBorder="1" applyAlignment="1">
      <alignment horizontal="center"/>
    </xf>
    <xf numFmtId="0" fontId="114" fillId="0" borderId="4" xfId="0" applyFont="1" applyFill="1" applyBorder="1" applyAlignment="1">
      <alignment horizontal="center" wrapText="1"/>
    </xf>
    <xf numFmtId="2" fontId="123" fillId="0" borderId="0" xfId="0" applyNumberFormat="1" applyFont="1" applyFill="1" applyAlignment="1"/>
    <xf numFmtId="2" fontId="121" fillId="0" borderId="0" xfId="0" applyNumberFormat="1" applyFont="1" applyFill="1" applyBorder="1" applyAlignment="1">
      <alignment horizontal="left"/>
    </xf>
    <xf numFmtId="2" fontId="122" fillId="0" borderId="4" xfId="0" applyNumberFormat="1" applyFont="1" applyFill="1" applyBorder="1" applyAlignment="1">
      <alignment horizontal="center" vertical="center" wrapText="1"/>
    </xf>
    <xf numFmtId="2" fontId="123" fillId="0" borderId="0" xfId="0" applyNumberFormat="1" applyFont="1" applyFill="1" applyAlignment="1">
      <alignment horizontal="center" vertical="center"/>
    </xf>
    <xf numFmtId="0" fontId="123" fillId="0" borderId="0" xfId="0" applyFont="1" applyFill="1" applyAlignment="1">
      <alignment horizontal="center" vertical="center"/>
    </xf>
    <xf numFmtId="2" fontId="123" fillId="0" borderId="4" xfId="0" applyNumberFormat="1" applyFont="1" applyFill="1" applyBorder="1" applyAlignment="1">
      <alignment horizontal="center" wrapText="1"/>
    </xf>
    <xf numFmtId="170" fontId="123" fillId="0" borderId="4" xfId="0" applyNumberFormat="1" applyFont="1" applyFill="1" applyBorder="1" applyAlignment="1" applyProtection="1">
      <alignment horizontal="center" wrapText="1"/>
      <protection locked="0"/>
    </xf>
    <xf numFmtId="2" fontId="123" fillId="0" borderId="133" xfId="0" applyNumberFormat="1" applyFont="1" applyFill="1" applyBorder="1" applyAlignment="1">
      <alignment horizontal="center" wrapText="1"/>
    </xf>
    <xf numFmtId="2" fontId="123" fillId="0" borderId="133" xfId="0" applyNumberFormat="1" applyFont="1" applyFill="1" applyBorder="1" applyAlignment="1"/>
    <xf numFmtId="170" fontId="122" fillId="0" borderId="12" xfId="0" applyNumberFormat="1" applyFont="1" applyFill="1" applyBorder="1" applyAlignment="1" applyProtection="1">
      <alignment horizontal="left" wrapText="1"/>
    </xf>
    <xf numFmtId="2" fontId="123" fillId="0" borderId="12" xfId="0" applyNumberFormat="1" applyFont="1" applyFill="1" applyBorder="1" applyAlignment="1">
      <alignment horizontal="center" wrapText="1"/>
    </xf>
    <xf numFmtId="170" fontId="122" fillId="0" borderId="4" xfId="0" applyNumberFormat="1" applyFont="1" applyFill="1" applyBorder="1" applyAlignment="1">
      <alignment horizontal="center"/>
    </xf>
    <xf numFmtId="170" fontId="122" fillId="0" borderId="29" xfId="0" applyNumberFormat="1" applyFont="1" applyFill="1" applyBorder="1" applyAlignment="1"/>
    <xf numFmtId="2" fontId="122" fillId="0" borderId="29" xfId="0" applyNumberFormat="1" applyFont="1" applyFill="1" applyBorder="1" applyAlignment="1">
      <alignment horizontal="center"/>
    </xf>
    <xf numFmtId="0" fontId="123" fillId="0" borderId="0" xfId="0" applyFont="1" applyFill="1" applyBorder="1" applyAlignment="1">
      <alignment horizontal="center"/>
    </xf>
    <xf numFmtId="2" fontId="122" fillId="0" borderId="0" xfId="564" applyNumberFormat="1" applyFont="1" applyFill="1" applyBorder="1" applyAlignment="1">
      <alignment horizontal="center"/>
    </xf>
    <xf numFmtId="170" fontId="122" fillId="0" borderId="4" xfId="0" applyNumberFormat="1" applyFont="1" applyFill="1" applyBorder="1" applyAlignment="1" applyProtection="1">
      <alignment horizontal="center" wrapText="1"/>
      <protection locked="0"/>
    </xf>
    <xf numFmtId="2" fontId="122" fillId="0" borderId="12" xfId="0" applyNumberFormat="1" applyFont="1" applyFill="1" applyBorder="1" applyAlignment="1">
      <alignment horizontal="center" wrapText="1"/>
    </xf>
    <xf numFmtId="2" fontId="122" fillId="0" borderId="0" xfId="0" applyNumberFormat="1" applyFont="1" applyFill="1" applyAlignment="1"/>
    <xf numFmtId="0" fontId="122" fillId="0" borderId="0" xfId="0" applyFont="1" applyFill="1" applyAlignment="1"/>
    <xf numFmtId="0" fontId="122" fillId="8" borderId="0" xfId="0" applyFont="1" applyFill="1" applyAlignment="1"/>
    <xf numFmtId="0" fontId="10" fillId="0" borderId="0" xfId="0" applyFont="1" applyFill="1" applyAlignment="1"/>
    <xf numFmtId="0" fontId="10" fillId="0" borderId="0" xfId="0" applyFont="1" applyFill="1" applyAlignment="1">
      <alignment horizontal="right"/>
    </xf>
    <xf numFmtId="0" fontId="0" fillId="0" borderId="0" xfId="0" applyFill="1" applyAlignment="1"/>
    <xf numFmtId="0" fontId="116" fillId="0" borderId="4" xfId="0" applyFont="1" applyFill="1" applyBorder="1" applyAlignment="1">
      <alignment wrapText="1"/>
    </xf>
    <xf numFmtId="0" fontId="116" fillId="0" borderId="4" xfId="0" applyFont="1" applyFill="1" applyBorder="1"/>
    <xf numFmtId="0" fontId="116" fillId="0" borderId="4" xfId="0" applyFont="1" applyFill="1" applyBorder="1" applyAlignment="1">
      <alignment horizontal="center"/>
    </xf>
    <xf numFmtId="0" fontId="144" fillId="0" borderId="4" xfId="0" applyFont="1" applyFill="1" applyBorder="1" applyAlignment="1">
      <alignment horizontal="center"/>
    </xf>
    <xf numFmtId="2" fontId="9" fillId="0" borderId="4" xfId="0" applyNumberFormat="1" applyFont="1" applyFill="1" applyBorder="1" applyAlignment="1">
      <alignment horizontal="center"/>
    </xf>
    <xf numFmtId="2" fontId="116" fillId="0" borderId="4" xfId="0" applyNumberFormat="1" applyFont="1" applyFill="1" applyBorder="1" applyAlignment="1">
      <alignment horizontal="center"/>
    </xf>
    <xf numFmtId="165" fontId="117" fillId="9" borderId="4" xfId="0" applyNumberFormat="1" applyFont="1" applyFill="1" applyBorder="1" applyAlignment="1">
      <alignment vertical="top"/>
    </xf>
    <xf numFmtId="0" fontId="126" fillId="0" borderId="4" xfId="0" applyFont="1" applyBorder="1" applyAlignment="1">
      <alignment horizontal="center" vertical="top"/>
    </xf>
    <xf numFmtId="0" fontId="125" fillId="0" borderId="4" xfId="0" applyFont="1" applyBorder="1" applyAlignment="1">
      <alignment vertical="top"/>
    </xf>
    <xf numFmtId="0" fontId="117" fillId="0" borderId="0" xfId="0" applyFont="1" applyBorder="1" applyAlignment="1">
      <alignment horizontal="left" vertical="center" wrapText="1"/>
    </xf>
    <xf numFmtId="0" fontId="123" fillId="0" borderId="0" xfId="564" applyFont="1" applyBorder="1" applyAlignment="1">
      <alignment horizontal="center" vertical="justify" wrapText="1"/>
    </xf>
    <xf numFmtId="0" fontId="114" fillId="0" borderId="4" xfId="0" applyFont="1" applyBorder="1" applyAlignment="1">
      <alignment vertical="center" wrapText="1"/>
    </xf>
    <xf numFmtId="2" fontId="117" fillId="9" borderId="4" xfId="0" applyNumberFormat="1" applyFont="1" applyFill="1" applyBorder="1"/>
    <xf numFmtId="1" fontId="125" fillId="0" borderId="4" xfId="0" applyNumberFormat="1" applyFont="1" applyFill="1" applyBorder="1" applyAlignment="1">
      <alignment horizontal="right" vertical="center"/>
    </xf>
    <xf numFmtId="1" fontId="125" fillId="9" borderId="4" xfId="0" applyNumberFormat="1" applyFont="1" applyFill="1" applyBorder="1" applyAlignment="1">
      <alignment horizontal="right"/>
    </xf>
    <xf numFmtId="0" fontId="114" fillId="0" borderId="4" xfId="0" applyFont="1" applyBorder="1" applyAlignment="1">
      <alignment horizontal="center" vertical="center" wrapText="1"/>
    </xf>
    <xf numFmtId="0" fontId="117" fillId="0" borderId="0" xfId="0" applyFont="1" applyAlignment="1">
      <alignment horizontal="center"/>
    </xf>
    <xf numFmtId="0" fontId="117" fillId="0" borderId="4" xfId="0" applyFont="1" applyBorder="1" applyAlignment="1">
      <alignment horizontal="center" vertical="center"/>
    </xf>
    <xf numFmtId="0" fontId="117" fillId="0" borderId="4" xfId="0" applyFont="1" applyBorder="1" applyAlignment="1">
      <alignment horizontal="center" vertical="center" wrapText="1"/>
    </xf>
    <xf numFmtId="0" fontId="12" fillId="0" borderId="0" xfId="0" applyFont="1" applyBorder="1" applyAlignment="1">
      <alignment horizontal="left"/>
    </xf>
    <xf numFmtId="46" fontId="202" fillId="0" borderId="161" xfId="7159" applyNumberFormat="1" applyFont="1" applyFill="1" applyBorder="1" applyAlignment="1">
      <alignment horizontal="center" vertical="center" wrapText="1"/>
    </xf>
    <xf numFmtId="0" fontId="202" fillId="0" borderId="161" xfId="7159" applyFont="1" applyFill="1" applyBorder="1" applyAlignment="1">
      <alignment horizontal="center" vertical="center" wrapText="1"/>
    </xf>
    <xf numFmtId="21" fontId="202" fillId="0" borderId="161" xfId="7159" applyNumberFormat="1" applyFont="1" applyFill="1" applyBorder="1" applyAlignment="1">
      <alignment horizontal="center" vertical="center" wrapText="1"/>
    </xf>
    <xf numFmtId="0" fontId="221" fillId="0" borderId="0" xfId="0" applyFont="1"/>
    <xf numFmtId="0" fontId="221" fillId="0" borderId="4" xfId="0" applyFont="1" applyBorder="1"/>
    <xf numFmtId="0" fontId="221" fillId="0" borderId="4" xfId="0" applyFont="1" applyBorder="1" applyAlignment="1">
      <alignment horizontal="center" vertical="center"/>
    </xf>
    <xf numFmtId="0" fontId="221" fillId="0" borderId="4" xfId="0" applyFont="1" applyBorder="1" applyAlignment="1">
      <alignment horizontal="center" vertical="top" wrapText="1"/>
    </xf>
    <xf numFmtId="0" fontId="221" fillId="0" borderId="4" xfId="0" applyFont="1" applyBorder="1" applyAlignment="1">
      <alignment wrapText="1"/>
    </xf>
    <xf numFmtId="0" fontId="221" fillId="0" borderId="4" xfId="0" applyFont="1" applyBorder="1" applyAlignment="1">
      <alignment horizontal="center"/>
    </xf>
    <xf numFmtId="0" fontId="129" fillId="0" borderId="4" xfId="0" applyFont="1" applyBorder="1" applyAlignment="1">
      <alignment horizontal="center"/>
    </xf>
    <xf numFmtId="0" fontId="129" fillId="0" borderId="4" xfId="0" applyFont="1" applyBorder="1"/>
    <xf numFmtId="0" fontId="129" fillId="0" borderId="4" xfId="0" applyFont="1" applyBorder="1" applyAlignment="1">
      <alignment horizontal="left" vertical="center" wrapText="1"/>
    </xf>
    <xf numFmtId="17" fontId="117" fillId="0" borderId="0" xfId="0" applyNumberFormat="1" applyFont="1"/>
    <xf numFmtId="0" fontId="221" fillId="0" borderId="4" xfId="0" applyFont="1" applyBorder="1" applyAlignment="1">
      <alignment vertical="center"/>
    </xf>
    <xf numFmtId="0" fontId="129" fillId="0" borderId="4" xfId="0" applyFont="1" applyBorder="1" applyAlignment="1">
      <alignment vertical="center" wrapText="1"/>
    </xf>
    <xf numFmtId="0" fontId="129" fillId="0" borderId="4" xfId="0" applyFont="1" applyBorder="1" applyAlignment="1">
      <alignment wrapText="1"/>
    </xf>
    <xf numFmtId="9" fontId="117" fillId="0" borderId="0" xfId="58" applyFont="1"/>
    <xf numFmtId="0" fontId="129" fillId="0" borderId="4" xfId="0" applyFont="1" applyBorder="1" applyAlignment="1">
      <alignment vertical="center"/>
    </xf>
    <xf numFmtId="2" fontId="117" fillId="0" borderId="0" xfId="0" applyNumberFormat="1" applyFont="1"/>
    <xf numFmtId="0" fontId="221" fillId="0" borderId="0" xfId="0" applyFont="1" applyBorder="1"/>
    <xf numFmtId="0" fontId="221" fillId="0" borderId="0" xfId="0" applyFont="1" applyBorder="1" applyAlignment="1">
      <alignment wrapText="1"/>
    </xf>
    <xf numFmtId="204" fontId="148" fillId="0" borderId="0" xfId="0" applyNumberFormat="1" applyFont="1" applyBorder="1" applyAlignment="1">
      <alignment horizontal="center" vertical="center"/>
    </xf>
    <xf numFmtId="0" fontId="123" fillId="0" borderId="0" xfId="7156" applyFont="1"/>
    <xf numFmtId="0" fontId="114" fillId="0" borderId="143" xfId="7156" applyFont="1" applyBorder="1" applyAlignment="1">
      <alignment vertical="center" wrapText="1"/>
    </xf>
    <xf numFmtId="0" fontId="114" fillId="0" borderId="135" xfId="7156" applyFont="1" applyBorder="1" applyAlignment="1">
      <alignment vertical="center" wrapText="1"/>
    </xf>
    <xf numFmtId="0" fontId="114" fillId="0" borderId="135" xfId="7156" applyFont="1" applyBorder="1"/>
    <xf numFmtId="0" fontId="123" fillId="0" borderId="141" xfId="7156" applyFont="1" applyBorder="1"/>
    <xf numFmtId="0" fontId="123" fillId="0" borderId="162" xfId="7156" applyFont="1" applyBorder="1" applyAlignment="1">
      <alignment horizontal="right"/>
    </xf>
    <xf numFmtId="0" fontId="123" fillId="0" borderId="163" xfId="7156" applyFont="1" applyBorder="1" applyAlignment="1">
      <alignment horizontal="right"/>
    </xf>
    <xf numFmtId="0" fontId="123" fillId="0" borderId="167" xfId="7156" applyFont="1" applyBorder="1" applyAlignment="1">
      <alignment horizontal="right"/>
    </xf>
    <xf numFmtId="0" fontId="123" fillId="0" borderId="138" xfId="7156" applyFont="1" applyBorder="1" applyAlignment="1">
      <alignment horizontal="right"/>
    </xf>
    <xf numFmtId="0" fontId="123" fillId="0" borderId="135" xfId="7156" applyFont="1" applyBorder="1" applyAlignment="1">
      <alignment horizontal="right"/>
    </xf>
    <xf numFmtId="0" fontId="114" fillId="0" borderId="146" xfId="7156" applyFont="1" applyBorder="1"/>
    <xf numFmtId="0" fontId="123" fillId="0" borderId="2" xfId="7156" applyFont="1" applyBorder="1"/>
    <xf numFmtId="0" fontId="123" fillId="0" borderId="168" xfId="7156" applyFont="1" applyBorder="1"/>
    <xf numFmtId="0" fontId="123" fillId="0" borderId="26" xfId="7156" applyFont="1" applyBorder="1"/>
    <xf numFmtId="0" fontId="123" fillId="0" borderId="169" xfId="7156" applyFont="1" applyBorder="1"/>
    <xf numFmtId="0" fontId="123" fillId="0" borderId="31" xfId="7156" applyFont="1" applyBorder="1"/>
    <xf numFmtId="0" fontId="123" fillId="0" borderId="146" xfId="7156" applyFont="1" applyBorder="1"/>
    <xf numFmtId="0" fontId="122" fillId="0" borderId="136" xfId="7156" applyFont="1" applyBorder="1"/>
    <xf numFmtId="0" fontId="123" fillId="0" borderId="136" xfId="7156" applyFont="1" applyBorder="1"/>
    <xf numFmtId="0" fontId="123" fillId="0" borderId="30" xfId="7156" applyFont="1" applyBorder="1"/>
    <xf numFmtId="0" fontId="122" fillId="0" borderId="146" xfId="7156" applyFont="1" applyBorder="1"/>
    <xf numFmtId="0" fontId="122" fillId="0" borderId="2" xfId="7156" applyFont="1" applyBorder="1"/>
    <xf numFmtId="0" fontId="122" fillId="0" borderId="30" xfId="7156" applyFont="1" applyBorder="1"/>
    <xf numFmtId="0" fontId="122" fillId="0" borderId="31" xfId="7156" applyFont="1" applyBorder="1"/>
    <xf numFmtId="0" fontId="123" fillId="0" borderId="162" xfId="7156" applyFont="1" applyBorder="1"/>
    <xf numFmtId="0" fontId="123" fillId="0" borderId="163" xfId="7156" applyFont="1" applyBorder="1"/>
    <xf numFmtId="0" fontId="123" fillId="0" borderId="167" xfId="7156" applyFont="1" applyBorder="1"/>
    <xf numFmtId="0" fontId="123" fillId="0" borderId="138" xfId="7156" applyFont="1" applyBorder="1"/>
    <xf numFmtId="0" fontId="123" fillId="0" borderId="4" xfId="7156" applyFont="1" applyBorder="1"/>
    <xf numFmtId="0" fontId="223" fillId="0" borderId="0" xfId="7156" applyFont="1"/>
    <xf numFmtId="0" fontId="203" fillId="0" borderId="143" xfId="7156" applyFont="1" applyBorder="1" applyAlignment="1">
      <alignment vertical="center" wrapText="1"/>
    </xf>
    <xf numFmtId="0" fontId="203" fillId="0" borderId="135" xfId="7156" applyFont="1" applyBorder="1" applyAlignment="1">
      <alignment vertical="center" wrapText="1"/>
    </xf>
    <xf numFmtId="0" fontId="203" fillId="0" borderId="135" xfId="7156" applyFont="1" applyBorder="1"/>
    <xf numFmtId="0" fontId="223" fillId="0" borderId="141" xfId="7156" applyFont="1" applyBorder="1"/>
    <xf numFmtId="0" fontId="223" fillId="0" borderId="162" xfId="7156" applyFont="1" applyBorder="1" applyAlignment="1">
      <alignment horizontal="right"/>
    </xf>
    <xf numFmtId="0" fontId="223" fillId="0" borderId="163" xfId="7156" applyFont="1" applyBorder="1" applyAlignment="1">
      <alignment horizontal="right"/>
    </xf>
    <xf numFmtId="0" fontId="223" fillId="0" borderId="167" xfId="7156" applyFont="1" applyBorder="1" applyAlignment="1">
      <alignment horizontal="right"/>
    </xf>
    <xf numFmtId="0" fontId="223" fillId="0" borderId="138" xfId="7156" applyFont="1" applyBorder="1" applyAlignment="1">
      <alignment horizontal="right"/>
    </xf>
    <xf numFmtId="0" fontId="223" fillId="0" borderId="135" xfId="7156" applyFont="1" applyBorder="1" applyAlignment="1">
      <alignment horizontal="right"/>
    </xf>
    <xf numFmtId="0" fontId="203" fillId="0" borderId="146" xfId="7156" applyFont="1" applyBorder="1"/>
    <xf numFmtId="0" fontId="223" fillId="0" borderId="2" xfId="7156" applyFont="1" applyBorder="1"/>
    <xf numFmtId="0" fontId="223" fillId="0" borderId="168" xfId="7156" applyFont="1" applyBorder="1"/>
    <xf numFmtId="0" fontId="223" fillId="0" borderId="26" xfId="7156" applyFont="1" applyBorder="1"/>
    <xf numFmtId="0" fontId="223" fillId="0" borderId="169" xfId="7156" applyFont="1" applyBorder="1"/>
    <xf numFmtId="0" fontId="223" fillId="0" borderId="31" xfId="7156" applyFont="1" applyBorder="1"/>
    <xf numFmtId="0" fontId="223" fillId="0" borderId="146" xfId="7156" applyFont="1" applyBorder="1"/>
    <xf numFmtId="0" fontId="224" fillId="0" borderId="136" xfId="7156" applyFont="1" applyBorder="1"/>
    <xf numFmtId="0" fontId="223" fillId="0" borderId="136" xfId="7156" applyFont="1" applyBorder="1"/>
    <xf numFmtId="0" fontId="224" fillId="0" borderId="146" xfId="7156" applyFont="1" applyBorder="1"/>
    <xf numFmtId="0" fontId="224" fillId="0" borderId="2" xfId="7156" applyFont="1" applyBorder="1"/>
    <xf numFmtId="0" fontId="224" fillId="0" borderId="30" xfId="7156" applyFont="1" applyBorder="1"/>
    <xf numFmtId="207" fontId="224" fillId="0" borderId="146" xfId="7156" applyNumberFormat="1" applyFont="1" applyBorder="1"/>
    <xf numFmtId="0" fontId="122" fillId="0" borderId="135" xfId="7156" applyFont="1" applyBorder="1" applyAlignment="1">
      <alignment horizontal="right"/>
    </xf>
    <xf numFmtId="0" fontId="122" fillId="0" borderId="0" xfId="7156" applyFont="1"/>
    <xf numFmtId="0" fontId="221" fillId="0" borderId="0" xfId="0" applyFont="1" applyAlignment="1">
      <alignment wrapText="1"/>
    </xf>
    <xf numFmtId="0" fontId="221" fillId="0" borderId="0" xfId="0" applyFont="1" applyAlignment="1">
      <alignment horizontal="center" wrapText="1"/>
    </xf>
    <xf numFmtId="0" fontId="221" fillId="0" borderId="4" xfId="0" applyFont="1" applyBorder="1" applyAlignment="1">
      <alignment horizontal="left" vertical="center" wrapText="1"/>
    </xf>
    <xf numFmtId="0" fontId="221" fillId="0" borderId="4" xfId="0" applyFont="1" applyBorder="1" applyAlignment="1">
      <alignment horizontal="center" vertical="center" wrapText="1"/>
    </xf>
    <xf numFmtId="0" fontId="117" fillId="0" borderId="0" xfId="0" applyFont="1" applyFill="1" applyAlignment="1">
      <alignment vertical="center"/>
    </xf>
    <xf numFmtId="0" fontId="221" fillId="0" borderId="4" xfId="0" applyFont="1" applyFill="1" applyBorder="1" applyAlignment="1">
      <alignment vertical="center"/>
    </xf>
    <xf numFmtId="0" fontId="221" fillId="0" borderId="4" xfId="0" applyFont="1" applyFill="1" applyBorder="1" applyAlignment="1">
      <alignment horizontal="left" vertical="center" textRotation="180" wrapText="1"/>
    </xf>
    <xf numFmtId="0" fontId="221" fillId="0" borderId="4" xfId="0" applyFont="1" applyFill="1" applyBorder="1" applyAlignment="1">
      <alignment horizontal="center" vertical="center"/>
    </xf>
    <xf numFmtId="0" fontId="221" fillId="0" borderId="4" xfId="0" applyFont="1" applyFill="1" applyBorder="1" applyAlignment="1">
      <alignment vertical="center" wrapText="1"/>
    </xf>
    <xf numFmtId="46" fontId="117" fillId="0" borderId="4" xfId="0" applyNumberFormat="1" applyFont="1" applyFill="1" applyBorder="1" applyAlignment="1">
      <alignment horizontal="center" vertical="center"/>
    </xf>
    <xf numFmtId="46" fontId="114" fillId="0" borderId="4" xfId="0" applyNumberFormat="1" applyFont="1" applyFill="1" applyBorder="1" applyAlignment="1">
      <alignment horizontal="center" vertical="center"/>
    </xf>
    <xf numFmtId="0" fontId="117" fillId="8" borderId="0" xfId="0" applyFont="1" applyFill="1" applyAlignment="1">
      <alignment vertical="center"/>
    </xf>
    <xf numFmtId="2" fontId="125" fillId="0" borderId="4" xfId="0" applyNumberFormat="1" applyFont="1" applyBorder="1" applyAlignment="1">
      <alignment horizontal="center"/>
    </xf>
    <xf numFmtId="2" fontId="125" fillId="0" borderId="4" xfId="0" applyNumberFormat="1" applyFont="1" applyBorder="1" applyAlignment="1">
      <alignment horizontal="center" vertical="center"/>
    </xf>
    <xf numFmtId="0" fontId="125" fillId="0" borderId="0" xfId="0" applyFont="1" applyAlignment="1">
      <alignment horizontal="left" vertical="top"/>
    </xf>
    <xf numFmtId="0" fontId="125" fillId="0" borderId="0" xfId="0" applyFont="1" applyAlignment="1">
      <alignment vertical="top"/>
    </xf>
    <xf numFmtId="0" fontId="221" fillId="0" borderId="0" xfId="503" applyFont="1" applyBorder="1" applyAlignment="1">
      <alignment horizontal="center" vertical="top"/>
    </xf>
    <xf numFmtId="0" fontId="225" fillId="0" borderId="0" xfId="0" applyFont="1" applyAlignment="1">
      <alignment horizontal="left" vertical="top" wrapText="1"/>
    </xf>
    <xf numFmtId="0" fontId="202" fillId="0" borderId="0" xfId="0" applyFont="1" applyAlignment="1">
      <alignment horizontal="left" vertical="top"/>
    </xf>
    <xf numFmtId="0" fontId="122" fillId="71" borderId="175" xfId="0" applyFont="1" applyFill="1" applyBorder="1" applyAlignment="1">
      <alignment horizontal="left" vertical="top" wrapText="1" indent="3"/>
    </xf>
    <xf numFmtId="0" fontId="220" fillId="0" borderId="161" xfId="0" applyFont="1" applyBorder="1" applyAlignment="1">
      <alignment horizontal="center" vertical="top" wrapText="1"/>
    </xf>
    <xf numFmtId="0" fontId="220" fillId="0" borderId="161" xfId="0" applyFont="1" applyBorder="1" applyAlignment="1">
      <alignment horizontal="left" vertical="top" wrapText="1" indent="1"/>
    </xf>
    <xf numFmtId="0" fontId="202" fillId="0" borderId="161" xfId="0" applyFont="1" applyBorder="1" applyAlignment="1">
      <alignment horizontal="left" wrapText="1"/>
    </xf>
    <xf numFmtId="0" fontId="220" fillId="0" borderId="161" xfId="0" applyFont="1" applyBorder="1" applyAlignment="1">
      <alignment horizontal="left" vertical="top" wrapText="1"/>
    </xf>
    <xf numFmtId="1" fontId="226" fillId="0" borderId="161" xfId="0" applyNumberFormat="1" applyFont="1" applyBorder="1" applyAlignment="1">
      <alignment horizontal="left" vertical="top" shrinkToFit="1"/>
    </xf>
    <xf numFmtId="0" fontId="227" fillId="0" borderId="161" xfId="0" applyFont="1" applyBorder="1" applyAlignment="1">
      <alignment horizontal="left" vertical="top" wrapText="1"/>
    </xf>
    <xf numFmtId="0" fontId="202" fillId="0" borderId="0" xfId="0" applyFont="1" applyAlignment="1">
      <alignment horizontal="left" wrapText="1"/>
    </xf>
    <xf numFmtId="0" fontId="220" fillId="0" borderId="0" xfId="0" applyFont="1" applyAlignment="1">
      <alignment horizontal="left" vertical="top" wrapText="1"/>
    </xf>
    <xf numFmtId="0" fontId="202" fillId="0" borderId="161" xfId="0" applyFont="1" applyBorder="1" applyAlignment="1">
      <alignment horizontal="center" vertical="top" wrapText="1"/>
    </xf>
    <xf numFmtId="2" fontId="117" fillId="0" borderId="4" xfId="0" applyNumberFormat="1" applyFont="1" applyBorder="1" applyAlignment="1">
      <alignment horizontal="center"/>
    </xf>
    <xf numFmtId="2" fontId="117" fillId="0" borderId="4" xfId="0" applyNumberFormat="1" applyFont="1" applyBorder="1" applyAlignment="1">
      <alignment horizontal="center" vertical="center"/>
    </xf>
    <xf numFmtId="1" fontId="117" fillId="0" borderId="4" xfId="0" applyNumberFormat="1" applyFont="1" applyBorder="1" applyAlignment="1">
      <alignment horizontal="center" vertical="center"/>
    </xf>
    <xf numFmtId="0" fontId="114" fillId="0" borderId="4" xfId="0" applyFont="1" applyBorder="1" applyAlignment="1">
      <alignment horizontal="left" vertical="center"/>
    </xf>
    <xf numFmtId="0" fontId="114" fillId="0" borderId="4" xfId="0" applyFont="1" applyBorder="1" applyAlignment="1">
      <alignment horizontal="left"/>
    </xf>
    <xf numFmtId="0" fontId="117" fillId="0" borderId="4" xfId="0" applyFont="1" applyBorder="1" applyAlignment="1">
      <alignment horizontal="left"/>
    </xf>
    <xf numFmtId="0" fontId="173" fillId="0" borderId="0" xfId="0" applyFont="1" applyAlignment="1">
      <alignment horizontal="center" vertical="center"/>
    </xf>
    <xf numFmtId="0" fontId="230" fillId="0" borderId="0" xfId="0" applyFont="1" applyAlignment="1">
      <alignment horizontal="center" vertical="center"/>
    </xf>
    <xf numFmtId="0" fontId="173" fillId="0" borderId="0" xfId="0" applyFont="1" applyAlignment="1">
      <alignment horizontal="center" vertical="center" wrapText="1"/>
    </xf>
    <xf numFmtId="0" fontId="228" fillId="0" borderId="4" xfId="0" applyFont="1" applyBorder="1" applyAlignment="1">
      <alignment horizontal="center" vertical="center" wrapText="1"/>
    </xf>
    <xf numFmtId="0" fontId="173" fillId="0" borderId="4" xfId="0" applyFont="1" applyBorder="1" applyAlignment="1">
      <alignment horizontal="center" vertical="center" wrapText="1"/>
    </xf>
    <xf numFmtId="0" fontId="174" fillId="0" borderId="4" xfId="0" applyFont="1" applyBorder="1" applyAlignment="1">
      <alignment horizontal="center" vertical="center"/>
    </xf>
    <xf numFmtId="1" fontId="231" fillId="0" borderId="4" xfId="0" applyNumberFormat="1" applyFont="1" applyBorder="1" applyAlignment="1">
      <alignment horizontal="center" vertical="center" shrinkToFit="1"/>
    </xf>
    <xf numFmtId="0" fontId="173" fillId="9" borderId="4" xfId="0" applyFont="1" applyFill="1" applyBorder="1" applyAlignment="1">
      <alignment horizontal="center" vertical="center" wrapText="1"/>
    </xf>
    <xf numFmtId="0" fontId="205" fillId="0" borderId="4" xfId="0" applyFont="1" applyBorder="1" applyAlignment="1">
      <alignment horizontal="center" vertical="center" wrapText="1"/>
    </xf>
    <xf numFmtId="0" fontId="228" fillId="9" borderId="4" xfId="0" applyFont="1" applyFill="1" applyBorder="1" applyAlignment="1">
      <alignment horizontal="center" vertical="center" wrapText="1"/>
    </xf>
    <xf numFmtId="1" fontId="174" fillId="0" borderId="4" xfId="0" applyNumberFormat="1" applyFont="1" applyBorder="1" applyAlignment="1">
      <alignment horizontal="center" vertical="center" shrinkToFit="1"/>
    </xf>
    <xf numFmtId="20" fontId="173" fillId="0" borderId="4" xfId="0" applyNumberFormat="1" applyFont="1" applyBorder="1" applyAlignment="1">
      <alignment horizontal="center" vertical="center" wrapText="1"/>
    </xf>
    <xf numFmtId="0" fontId="230" fillId="0" borderId="4" xfId="0" applyFont="1" applyBorder="1" applyAlignment="1">
      <alignment horizontal="center" vertical="center"/>
    </xf>
    <xf numFmtId="0" fontId="234" fillId="0" borderId="4" xfId="0" applyFont="1" applyBorder="1" applyAlignment="1">
      <alignment vertical="center"/>
    </xf>
    <xf numFmtId="22" fontId="173" fillId="0" borderId="4" xfId="0" applyNumberFormat="1" applyFont="1" applyBorder="1" applyAlignment="1">
      <alignment horizontal="center" vertical="center" wrapText="1"/>
    </xf>
    <xf numFmtId="46" fontId="173" fillId="0" borderId="4" xfId="0" applyNumberFormat="1" applyFont="1" applyBorder="1" applyAlignment="1">
      <alignment horizontal="center" vertical="center" wrapText="1"/>
    </xf>
    <xf numFmtId="0" fontId="230" fillId="0" borderId="4" xfId="0" applyFont="1" applyBorder="1" applyAlignment="1">
      <alignment horizontal="center" vertical="center" wrapText="1"/>
    </xf>
    <xf numFmtId="22" fontId="173" fillId="0" borderId="4" xfId="0" applyNumberFormat="1" applyFont="1" applyBorder="1" applyAlignment="1">
      <alignment horizontal="center" vertical="center"/>
    </xf>
    <xf numFmtId="46" fontId="173" fillId="0" borderId="4" xfId="0" applyNumberFormat="1" applyFont="1" applyBorder="1" applyAlignment="1">
      <alignment horizontal="center" vertical="center"/>
    </xf>
    <xf numFmtId="0" fontId="0" fillId="0" borderId="0" xfId="0" applyFont="1" applyBorder="1" applyAlignment="1"/>
    <xf numFmtId="0" fontId="9" fillId="0" borderId="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xf numFmtId="171" fontId="126" fillId="0" borderId="0" xfId="0" applyNumberFormat="1" applyFont="1"/>
    <xf numFmtId="0" fontId="117" fillId="0" borderId="0" xfId="0" applyFont="1" applyFill="1"/>
    <xf numFmtId="0" fontId="0" fillId="0" borderId="4" xfId="0" applyBorder="1" applyAlignment="1">
      <alignment horizontal="center" vertical="center" wrapText="1"/>
    </xf>
    <xf numFmtId="0" fontId="0" fillId="0" borderId="4" xfId="0" applyBorder="1" applyAlignment="1">
      <alignment horizontal="left" vertical="center" wrapText="1"/>
    </xf>
    <xf numFmtId="165" fontId="0" fillId="0" borderId="4" xfId="0" applyNumberFormat="1" applyBorder="1" applyAlignment="1">
      <alignment horizontal="center" vertical="center" wrapText="1"/>
    </xf>
    <xf numFmtId="213" fontId="0" fillId="0" borderId="4" xfId="0" applyNumberFormat="1" applyBorder="1" applyAlignment="1">
      <alignment horizontal="center" vertical="center" wrapText="1"/>
    </xf>
    <xf numFmtId="165" fontId="0" fillId="0" borderId="4" xfId="4210" applyFont="1" applyFill="1" applyBorder="1" applyAlignment="1">
      <alignment horizontal="center" vertical="center" wrapText="1"/>
    </xf>
    <xf numFmtId="214" fontId="0" fillId="0" borderId="4" xfId="0" applyNumberFormat="1" applyBorder="1" applyAlignment="1">
      <alignment horizontal="center" vertical="center" wrapText="1"/>
    </xf>
    <xf numFmtId="14" fontId="0" fillId="0" borderId="4" xfId="0" applyNumberFormat="1" applyBorder="1" applyAlignment="1">
      <alignment horizontal="center" vertical="center" wrapText="1"/>
    </xf>
    <xf numFmtId="49" fontId="0" fillId="0" borderId="4" xfId="0" applyNumberFormat="1" applyBorder="1" applyAlignment="1">
      <alignment horizontal="left" vertical="center" wrapText="1"/>
    </xf>
    <xf numFmtId="17" fontId="0" fillId="0" borderId="4" xfId="0" applyNumberFormat="1" applyBorder="1" applyAlignment="1">
      <alignment horizontal="center" vertical="center" wrapText="1"/>
    </xf>
    <xf numFmtId="0" fontId="0" fillId="0" borderId="0" xfId="0" applyAlignment="1">
      <alignment horizontal="left" vertical="center"/>
    </xf>
    <xf numFmtId="0" fontId="10" fillId="0" borderId="0" xfId="0" applyFont="1" applyAlignment="1">
      <alignment vertical="center"/>
    </xf>
    <xf numFmtId="0" fontId="0" fillId="0" borderId="0" xfId="0" applyFont="1" applyAlignment="1">
      <alignment horizontal="right"/>
    </xf>
    <xf numFmtId="0" fontId="11" fillId="0" borderId="0" xfId="503" applyFont="1" applyBorder="1" applyAlignment="1">
      <alignment vertical="top"/>
    </xf>
    <xf numFmtId="0" fontId="114" fillId="0" borderId="0" xfId="0" applyFont="1" applyFill="1" applyAlignment="1"/>
    <xf numFmtId="0" fontId="117" fillId="0" borderId="0" xfId="0" applyFont="1" applyFill="1" applyAlignment="1">
      <alignment horizontal="center"/>
    </xf>
    <xf numFmtId="0" fontId="114" fillId="0" borderId="4" xfId="7156" applyFont="1" applyBorder="1" applyAlignment="1">
      <alignment vertical="center" wrapText="1"/>
    </xf>
    <xf numFmtId="0" fontId="114" fillId="0" borderId="4" xfId="7156" applyFont="1" applyBorder="1"/>
    <xf numFmtId="0" fontId="123" fillId="0" borderId="4" xfId="7156" applyFont="1" applyBorder="1" applyAlignment="1">
      <alignment horizontal="right"/>
    </xf>
    <xf numFmtId="0" fontId="122" fillId="0" borderId="4" xfId="7156" applyFont="1" applyBorder="1"/>
    <xf numFmtId="2" fontId="123" fillId="0" borderId="4" xfId="7156" applyNumberFormat="1" applyFont="1" applyBorder="1"/>
    <xf numFmtId="2" fontId="122" fillId="0" borderId="4" xfId="7156" applyNumberFormat="1" applyFont="1" applyBorder="1"/>
    <xf numFmtId="2" fontId="123" fillId="0" borderId="144" xfId="7156" applyNumberFormat="1" applyFont="1" applyBorder="1"/>
    <xf numFmtId="2" fontId="123" fillId="0" borderId="0" xfId="7156" applyNumberFormat="1" applyFont="1"/>
    <xf numFmtId="2" fontId="123" fillId="0" borderId="139" xfId="7156" applyNumberFormat="1" applyFont="1" applyBorder="1"/>
    <xf numFmtId="2" fontId="122" fillId="0" borderId="136" xfId="7156" applyNumberFormat="1" applyFont="1" applyBorder="1"/>
    <xf numFmtId="2" fontId="122" fillId="0" borderId="31" xfId="7156" applyNumberFormat="1" applyFont="1" applyBorder="1"/>
    <xf numFmtId="2" fontId="122" fillId="0" borderId="146" xfId="7156" applyNumberFormat="1" applyFont="1" applyBorder="1"/>
    <xf numFmtId="2" fontId="123" fillId="0" borderId="5" xfId="7156" applyNumberFormat="1" applyFont="1" applyBorder="1"/>
    <xf numFmtId="2" fontId="123" fillId="0" borderId="7" xfId="7156" applyNumberFormat="1" applyFont="1" applyBorder="1"/>
    <xf numFmtId="2" fontId="123" fillId="0" borderId="8" xfId="7156" applyNumberFormat="1" applyFont="1" applyBorder="1"/>
    <xf numFmtId="2" fontId="123" fillId="0" borderId="138" xfId="7156" applyNumberFormat="1" applyFont="1" applyBorder="1"/>
    <xf numFmtId="2" fontId="122" fillId="0" borderId="135" xfId="7156" applyNumberFormat="1" applyFont="1" applyBorder="1"/>
    <xf numFmtId="2" fontId="123" fillId="0" borderId="6" xfId="7156" applyNumberFormat="1" applyFont="1" applyBorder="1"/>
    <xf numFmtId="2" fontId="123" fillId="0" borderId="9" xfId="7156" applyNumberFormat="1" applyFont="1" applyBorder="1"/>
    <xf numFmtId="2" fontId="123" fillId="0" borderId="173" xfId="7156" applyNumberFormat="1" applyFont="1" applyBorder="1"/>
    <xf numFmtId="2" fontId="123" fillId="0" borderId="12" xfId="7156" applyNumberFormat="1" applyFont="1" applyBorder="1"/>
    <xf numFmtId="2" fontId="123" fillId="0" borderId="174" xfId="7156" applyNumberFormat="1" applyFont="1" applyBorder="1"/>
    <xf numFmtId="2" fontId="123" fillId="0" borderId="146" xfId="7156" applyNumberFormat="1" applyFont="1" applyBorder="1"/>
    <xf numFmtId="2" fontId="123" fillId="0" borderId="140" xfId="7156" applyNumberFormat="1" applyFont="1" applyBorder="1"/>
    <xf numFmtId="2" fontId="122" fillId="0" borderId="142" xfId="7156" applyNumberFormat="1" applyFont="1" applyBorder="1"/>
    <xf numFmtId="2" fontId="122" fillId="0" borderId="30" xfId="7156" applyNumberFormat="1" applyFont="1" applyBorder="1"/>
    <xf numFmtId="2" fontId="122" fillId="0" borderId="137" xfId="7156" applyNumberFormat="1" applyFont="1" applyBorder="1"/>
    <xf numFmtId="2" fontId="223" fillId="0" borderId="5" xfId="7156" applyNumberFormat="1" applyFont="1" applyBorder="1"/>
    <xf numFmtId="2" fontId="223" fillId="0" borderId="0" xfId="7156" applyNumberFormat="1" applyFont="1"/>
    <xf numFmtId="2" fontId="223" fillId="0" borderId="139" xfId="7156" applyNumberFormat="1" applyFont="1" applyBorder="1"/>
    <xf numFmtId="2" fontId="224" fillId="0" borderId="136" xfId="7156" applyNumberFormat="1" applyFont="1" applyBorder="1"/>
    <xf numFmtId="2" fontId="223" fillId="0" borderId="144" xfId="7156" applyNumberFormat="1" applyFont="1" applyBorder="1"/>
    <xf numFmtId="2" fontId="223" fillId="0" borderId="30" xfId="7156" applyNumberFormat="1" applyFont="1" applyBorder="1"/>
    <xf numFmtId="2" fontId="223" fillId="0" borderId="2" xfId="7156" applyNumberFormat="1" applyFont="1" applyBorder="1"/>
    <xf numFmtId="2" fontId="223" fillId="0" borderId="31" xfId="7156" applyNumberFormat="1" applyFont="1" applyBorder="1"/>
    <xf numFmtId="2" fontId="224" fillId="0" borderId="146" xfId="7156" applyNumberFormat="1" applyFont="1" applyBorder="1"/>
    <xf numFmtId="2" fontId="224" fillId="0" borderId="30" xfId="7156" applyNumberFormat="1" applyFont="1" applyBorder="1"/>
    <xf numFmtId="2" fontId="224" fillId="0" borderId="2" xfId="7156" applyNumberFormat="1" applyFont="1" applyBorder="1"/>
    <xf numFmtId="2" fontId="224" fillId="0" borderId="31" xfId="7156" applyNumberFormat="1" applyFont="1" applyBorder="1"/>
    <xf numFmtId="0" fontId="122" fillId="0" borderId="135" xfId="7156" applyFont="1" applyBorder="1"/>
    <xf numFmtId="2" fontId="122" fillId="0" borderId="5" xfId="7156" applyNumberFormat="1" applyFont="1" applyBorder="1"/>
    <xf numFmtId="2" fontId="122" fillId="0" borderId="17" xfId="7156" applyNumberFormat="1" applyFont="1" applyBorder="1"/>
    <xf numFmtId="0" fontId="117" fillId="0" borderId="0" xfId="0" applyFont="1" applyFill="1" applyBorder="1" applyAlignment="1">
      <alignment vertical="center"/>
    </xf>
    <xf numFmtId="0" fontId="117" fillId="0" borderId="4" xfId="0" applyFont="1" applyFill="1" applyBorder="1" applyAlignment="1">
      <alignment vertical="center"/>
    </xf>
    <xf numFmtId="0" fontId="117" fillId="0" borderId="4" xfId="0" applyFont="1" applyFill="1" applyBorder="1" applyAlignment="1">
      <alignment vertical="center" wrapText="1"/>
    </xf>
    <xf numFmtId="20" fontId="117" fillId="0" borderId="4" xfId="0" applyNumberFormat="1" applyFont="1" applyFill="1" applyBorder="1" applyAlignment="1">
      <alignment horizontal="center" vertical="center"/>
    </xf>
    <xf numFmtId="0" fontId="157" fillId="0" borderId="4" xfId="0" applyFont="1" applyFill="1" applyBorder="1" applyAlignment="1">
      <alignment horizontal="center" vertical="center"/>
    </xf>
    <xf numFmtId="20" fontId="157" fillId="0" borderId="4" xfId="0" applyNumberFormat="1" applyFont="1" applyFill="1" applyBorder="1" applyAlignment="1">
      <alignment horizontal="center" vertical="center"/>
    </xf>
    <xf numFmtId="46" fontId="175" fillId="0" borderId="4" xfId="0" applyNumberFormat="1" applyFont="1" applyFill="1" applyBorder="1" applyAlignment="1">
      <alignment horizontal="center" vertical="center" wrapText="1"/>
    </xf>
    <xf numFmtId="0" fontId="123" fillId="0" borderId="4" xfId="0" applyFont="1" applyFill="1" applyBorder="1" applyAlignment="1">
      <alignment horizontal="center" vertical="center"/>
    </xf>
    <xf numFmtId="0" fontId="123" fillId="0" borderId="4" xfId="0" applyFont="1" applyFill="1" applyBorder="1" applyAlignment="1">
      <alignment vertical="center"/>
    </xf>
    <xf numFmtId="2" fontId="123" fillId="0" borderId="4" xfId="0" applyNumberFormat="1" applyFont="1" applyFill="1" applyBorder="1" applyAlignment="1">
      <alignment horizontal="center" vertical="center"/>
    </xf>
    <xf numFmtId="0" fontId="123" fillId="0" borderId="0" xfId="0" applyFont="1" applyFill="1" applyBorder="1" applyAlignment="1">
      <alignment horizontal="center" vertical="center"/>
    </xf>
    <xf numFmtId="0" fontId="123" fillId="0" borderId="0" xfId="0" applyFont="1" applyFill="1" applyBorder="1" applyAlignment="1">
      <alignment vertical="center"/>
    </xf>
    <xf numFmtId="2" fontId="123" fillId="0" borderId="0" xfId="0" applyNumberFormat="1" applyFont="1" applyFill="1" applyBorder="1" applyAlignment="1">
      <alignment vertical="center"/>
    </xf>
    <xf numFmtId="0" fontId="122" fillId="71" borderId="4" xfId="0" applyFont="1" applyFill="1" applyBorder="1" applyAlignment="1">
      <alignment horizontal="left" vertical="top" wrapText="1" indent="3"/>
    </xf>
    <xf numFmtId="0" fontId="220" fillId="0" borderId="4" xfId="0" applyFont="1" applyBorder="1" applyAlignment="1">
      <alignment horizontal="center" vertical="top" wrapText="1"/>
    </xf>
    <xf numFmtId="0" fontId="220" fillId="0" borderId="4" xfId="0" applyFont="1" applyBorder="1" applyAlignment="1">
      <alignment horizontal="left" vertical="top" wrapText="1" indent="1"/>
    </xf>
    <xf numFmtId="0" fontId="202" fillId="0" borderId="4" xfId="0" applyFont="1" applyBorder="1" applyAlignment="1">
      <alignment horizontal="left" wrapText="1"/>
    </xf>
    <xf numFmtId="0" fontId="220" fillId="0" borderId="4" xfId="0" applyFont="1" applyBorder="1" applyAlignment="1">
      <alignment horizontal="left" vertical="top" wrapText="1"/>
    </xf>
    <xf numFmtId="0" fontId="227" fillId="0" borderId="4" xfId="0" applyFont="1" applyBorder="1" applyAlignment="1">
      <alignment horizontal="left" vertical="top" wrapText="1"/>
    </xf>
    <xf numFmtId="0" fontId="227" fillId="0" borderId="160" xfId="0" applyFont="1" applyBorder="1" applyAlignment="1">
      <alignment horizontal="left" vertical="top" wrapText="1"/>
    </xf>
    <xf numFmtId="0" fontId="202" fillId="0" borderId="160" xfId="0" applyFont="1" applyBorder="1" applyAlignment="1">
      <alignment horizontal="center" wrapText="1"/>
    </xf>
    <xf numFmtId="0" fontId="202" fillId="0" borderId="161" xfId="0" applyFont="1" applyBorder="1" applyAlignment="1">
      <alignment horizontal="center" wrapText="1"/>
    </xf>
    <xf numFmtId="1" fontId="226" fillId="0" borderId="4" xfId="0" applyNumberFormat="1" applyFont="1" applyBorder="1" applyAlignment="1">
      <alignment horizontal="center" vertical="top" shrinkToFit="1"/>
    </xf>
    <xf numFmtId="0" fontId="227" fillId="0" borderId="4" xfId="0" applyFont="1" applyBorder="1" applyAlignment="1">
      <alignment horizontal="center" vertical="top" wrapText="1"/>
    </xf>
    <xf numFmtId="1" fontId="226" fillId="0" borderId="160" xfId="0" applyNumberFormat="1" applyFont="1" applyBorder="1" applyAlignment="1">
      <alignment horizontal="center" vertical="top" shrinkToFit="1"/>
    </xf>
    <xf numFmtId="1" fontId="226" fillId="0" borderId="161" xfId="0" applyNumberFormat="1" applyFont="1" applyBorder="1" applyAlignment="1">
      <alignment horizontal="center" vertical="top" shrinkToFit="1"/>
    </xf>
    <xf numFmtId="0" fontId="0" fillId="0" borderId="0" xfId="0" applyFill="1"/>
    <xf numFmtId="0" fontId="158" fillId="0" borderId="0" xfId="503" applyFont="1" applyFill="1" applyAlignment="1"/>
    <xf numFmtId="0" fontId="11" fillId="0" borderId="0" xfId="503" applyFill="1" applyAlignment="1"/>
    <xf numFmtId="0" fontId="155" fillId="0" borderId="0" xfId="503" applyFont="1" applyFill="1"/>
    <xf numFmtId="0" fontId="11" fillId="0" borderId="0" xfId="503" applyFill="1"/>
    <xf numFmtId="0" fontId="155" fillId="0" borderId="4" xfId="503" applyFont="1" applyFill="1" applyBorder="1" applyAlignment="1">
      <alignment horizontal="left" vertical="center" wrapText="1"/>
    </xf>
    <xf numFmtId="0" fontId="149" fillId="0" borderId="4" xfId="503" applyFont="1" applyFill="1" applyBorder="1" applyAlignment="1">
      <alignment horizontal="center" vertical="center"/>
    </xf>
    <xf numFmtId="0" fontId="149" fillId="0" borderId="4" xfId="503" applyFont="1" applyFill="1" applyBorder="1" applyAlignment="1">
      <alignment vertical="center"/>
    </xf>
    <xf numFmtId="0" fontId="155" fillId="0" borderId="4" xfId="503" applyFont="1" applyFill="1" applyBorder="1" applyAlignment="1">
      <alignment horizontal="center" vertical="center"/>
    </xf>
    <xf numFmtId="0" fontId="155" fillId="0" borderId="4" xfId="503" applyFont="1" applyFill="1" applyBorder="1" applyAlignment="1">
      <alignment vertical="center" wrapText="1"/>
    </xf>
    <xf numFmtId="0" fontId="155" fillId="0" borderId="4" xfId="0" applyFont="1" applyFill="1" applyBorder="1" applyAlignment="1">
      <alignment horizontal="center" vertical="center"/>
    </xf>
    <xf numFmtId="9" fontId="155" fillId="0" borderId="4" xfId="58" applyFont="1" applyFill="1" applyBorder="1" applyAlignment="1">
      <alignment horizontal="center" vertical="center"/>
    </xf>
    <xf numFmtId="0" fontId="159" fillId="0" borderId="4" xfId="0" applyFont="1" applyFill="1" applyBorder="1" applyAlignment="1">
      <alignment horizontal="center" vertical="center"/>
    </xf>
    <xf numFmtId="1" fontId="155" fillId="0" borderId="4" xfId="503" applyNumberFormat="1" applyFont="1" applyFill="1" applyBorder="1" applyAlignment="1">
      <alignment horizontal="center" vertical="center"/>
    </xf>
    <xf numFmtId="0" fontId="155" fillId="0" borderId="0" xfId="503" applyFont="1" applyFill="1" applyBorder="1" applyAlignment="1">
      <alignment horizontal="center" wrapText="1"/>
    </xf>
    <xf numFmtId="0" fontId="155" fillId="0" borderId="0" xfId="503" applyFont="1" applyFill="1" applyBorder="1" applyAlignment="1">
      <alignment wrapText="1"/>
    </xf>
    <xf numFmtId="0" fontId="155" fillId="0" borderId="47" xfId="503" applyFont="1" applyFill="1" applyBorder="1" applyAlignment="1">
      <alignment horizontal="center" wrapText="1"/>
    </xf>
    <xf numFmtId="0" fontId="155" fillId="0" borderId="0" xfId="503" applyFont="1" applyFill="1" applyBorder="1" applyAlignment="1">
      <alignment horizontal="left" vertical="top"/>
    </xf>
    <xf numFmtId="0" fontId="235" fillId="0" borderId="24" xfId="17" applyFont="1" applyFill="1" applyBorder="1" applyAlignment="1">
      <alignment horizontal="center" vertical="top"/>
    </xf>
    <xf numFmtId="0" fontId="236" fillId="0" borderId="145" xfId="0" applyFont="1" applyFill="1" applyBorder="1" applyAlignment="1">
      <alignment vertical="top" wrapText="1"/>
    </xf>
    <xf numFmtId="0" fontId="236" fillId="0" borderId="145" xfId="0" applyFont="1" applyFill="1" applyBorder="1" applyAlignment="1">
      <alignment horizontal="center" vertical="top"/>
    </xf>
    <xf numFmtId="0" fontId="236" fillId="0" borderId="145" xfId="0" applyFont="1" applyFill="1" applyBorder="1" applyAlignment="1">
      <alignment vertical="top"/>
    </xf>
    <xf numFmtId="165" fontId="212" fillId="0" borderId="145" xfId="0" applyNumberFormat="1" applyFont="1" applyFill="1" applyBorder="1" applyAlignment="1">
      <alignment vertical="top"/>
    </xf>
    <xf numFmtId="0" fontId="212" fillId="0" borderId="145" xfId="0" applyFont="1" applyFill="1" applyBorder="1" applyAlignment="1">
      <alignment vertical="top"/>
    </xf>
    <xf numFmtId="2" fontId="216" fillId="0" borderId="0" xfId="0" applyNumberFormat="1" applyFont="1" applyFill="1" applyAlignment="1">
      <alignment vertical="top"/>
    </xf>
    <xf numFmtId="174" fontId="120" fillId="0" borderId="0" xfId="0" applyNumberFormat="1" applyFont="1" applyFill="1" applyAlignment="1"/>
    <xf numFmtId="0" fontId="0" fillId="0" borderId="4" xfId="0" applyBorder="1" applyAlignment="1">
      <alignment horizontal="center" vertical="center" wrapText="1"/>
    </xf>
    <xf numFmtId="165" fontId="0" fillId="0" borderId="4" xfId="4210" applyFont="1" applyFill="1" applyBorder="1" applyAlignment="1">
      <alignment horizontal="center" vertical="center" wrapText="1"/>
    </xf>
    <xf numFmtId="165" fontId="0" fillId="0" borderId="4" xfId="0" applyNumberFormat="1" applyBorder="1" applyAlignment="1">
      <alignment horizontal="center" vertical="center" wrapText="1"/>
    </xf>
    <xf numFmtId="165" fontId="0" fillId="0" borderId="4" xfId="4210" applyFont="1" applyFill="1" applyBorder="1" applyAlignment="1">
      <alignment horizontal="center" vertical="center" wrapText="1"/>
    </xf>
    <xf numFmtId="0" fontId="0" fillId="0" borderId="4" xfId="0" applyBorder="1" applyAlignment="1">
      <alignment horizontal="center" vertical="center" wrapText="1"/>
    </xf>
    <xf numFmtId="0" fontId="197" fillId="0" borderId="4" xfId="0" applyFont="1" applyBorder="1" applyAlignment="1">
      <alignment vertical="center"/>
    </xf>
    <xf numFmtId="0" fontId="223" fillId="0" borderId="4" xfId="0" applyFont="1" applyBorder="1" applyAlignment="1">
      <alignment horizontal="center" vertical="center" wrapText="1"/>
    </xf>
    <xf numFmtId="0" fontId="197" fillId="9"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vertical="center"/>
    </xf>
    <xf numFmtId="165" fontId="10" fillId="0" borderId="4" xfId="4210" applyFont="1" applyFill="1" applyBorder="1" applyAlignment="1">
      <alignment horizontal="center" vertical="center" wrapText="1"/>
    </xf>
    <xf numFmtId="0" fontId="119" fillId="0" borderId="4" xfId="17" applyFont="1" applyFill="1" applyBorder="1" applyAlignment="1">
      <alignment horizontal="center" vertical="center" wrapText="1"/>
    </xf>
    <xf numFmtId="0" fontId="122" fillId="5" borderId="0" xfId="17" applyFont="1" applyFill="1" applyBorder="1" applyAlignment="1">
      <alignment horizontal="center"/>
    </xf>
    <xf numFmtId="0" fontId="119" fillId="0" borderId="4" xfId="17" applyFont="1" applyFill="1" applyBorder="1" applyAlignment="1">
      <alignment horizontal="center" vertical="top" wrapText="1"/>
    </xf>
    <xf numFmtId="0" fontId="124" fillId="0" borderId="0" xfId="0" applyFont="1" applyFill="1" applyBorder="1" applyAlignment="1"/>
    <xf numFmtId="171" fontId="119" fillId="0" borderId="4" xfId="72" applyNumberFormat="1" applyFont="1" applyFill="1" applyBorder="1" applyAlignment="1">
      <alignment vertical="center" wrapText="1"/>
    </xf>
    <xf numFmtId="0" fontId="122" fillId="0" borderId="0" xfId="0" applyFont="1" applyFill="1" applyBorder="1" applyAlignment="1">
      <alignment horizontal="center" vertical="top"/>
    </xf>
    <xf numFmtId="0" fontId="125" fillId="0" borderId="4" xfId="0" applyFont="1" applyFill="1" applyBorder="1" applyAlignment="1">
      <alignment vertical="center" wrapText="1"/>
    </xf>
    <xf numFmtId="2" fontId="125" fillId="0" borderId="4" xfId="0" applyNumberFormat="1" applyFont="1" applyFill="1" applyBorder="1" applyAlignment="1">
      <alignment vertical="center" wrapText="1"/>
    </xf>
    <xf numFmtId="43" fontId="120" fillId="0" borderId="4" xfId="564" applyNumberFormat="1" applyFont="1" applyFill="1" applyBorder="1" applyAlignment="1"/>
    <xf numFmtId="165" fontId="120" fillId="0" borderId="4" xfId="564" applyNumberFormat="1" applyFont="1" applyFill="1" applyBorder="1" applyAlignment="1">
      <alignment horizontal="left"/>
    </xf>
    <xf numFmtId="10" fontId="120" fillId="0" borderId="4" xfId="564" applyNumberFormat="1" applyFont="1" applyFill="1" applyBorder="1" applyAlignment="1">
      <alignment horizontal="right" vertical="center"/>
    </xf>
    <xf numFmtId="10" fontId="120" fillId="0" borderId="4" xfId="564" applyNumberFormat="1" applyFont="1" applyFill="1" applyBorder="1" applyAlignment="1"/>
    <xf numFmtId="2" fontId="120" fillId="0" borderId="4" xfId="564" applyNumberFormat="1" applyFont="1" applyFill="1" applyBorder="1" applyAlignment="1">
      <alignment horizontal="right" vertical="center"/>
    </xf>
    <xf numFmtId="43" fontId="120" fillId="0" borderId="4" xfId="564" applyNumberFormat="1" applyFont="1" applyFill="1" applyBorder="1" applyAlignment="1">
      <alignment horizontal="left"/>
    </xf>
    <xf numFmtId="0" fontId="125" fillId="0" borderId="133" xfId="0" applyFont="1" applyFill="1" applyBorder="1" applyAlignment="1"/>
    <xf numFmtId="43" fontId="119" fillId="0" borderId="4" xfId="72" applyFont="1" applyFill="1" applyBorder="1" applyAlignment="1">
      <alignment horizontal="center"/>
    </xf>
    <xf numFmtId="0" fontId="197" fillId="0" borderId="0" xfId="0" applyFont="1" applyFill="1"/>
    <xf numFmtId="0" fontId="207" fillId="0" borderId="0" xfId="0" applyFont="1" applyFill="1" applyAlignment="1">
      <alignment wrapText="1"/>
    </xf>
    <xf numFmtId="0" fontId="207" fillId="0" borderId="0" xfId="0" applyFont="1" applyFill="1" applyAlignment="1">
      <alignment horizontal="center"/>
    </xf>
    <xf numFmtId="2" fontId="207" fillId="0" borderId="0" xfId="0" applyNumberFormat="1" applyFont="1" applyFill="1"/>
    <xf numFmtId="2" fontId="207" fillId="0" borderId="0" xfId="0" applyNumberFormat="1" applyFont="1" applyFill="1" applyAlignment="1">
      <alignment horizontal="center"/>
    </xf>
    <xf numFmtId="2" fontId="197" fillId="0" borderId="0" xfId="0" applyNumberFormat="1" applyFont="1" applyFill="1"/>
    <xf numFmtId="2" fontId="197" fillId="0" borderId="4" xfId="0" applyNumberFormat="1" applyFont="1" applyFill="1" applyBorder="1"/>
    <xf numFmtId="173" fontId="197" fillId="0" borderId="4" xfId="0" applyNumberFormat="1" applyFont="1" applyFill="1" applyBorder="1"/>
    <xf numFmtId="174" fontId="197" fillId="0" borderId="4" xfId="0" applyNumberFormat="1" applyFont="1" applyFill="1" applyBorder="1"/>
    <xf numFmtId="212" fontId="197" fillId="0" borderId="4" xfId="0" applyNumberFormat="1" applyFont="1" applyFill="1" applyBorder="1"/>
    <xf numFmtId="10" fontId="197" fillId="0" borderId="4" xfId="0" applyNumberFormat="1" applyFont="1" applyFill="1" applyBorder="1" applyAlignment="1"/>
    <xf numFmtId="206" fontId="125" fillId="0" borderId="4" xfId="72" applyNumberFormat="1" applyFont="1" applyFill="1" applyBorder="1"/>
    <xf numFmtId="1" fontId="125" fillId="0" borderId="4" xfId="72" applyNumberFormat="1" applyFont="1" applyFill="1" applyBorder="1"/>
    <xf numFmtId="1" fontId="125" fillId="0" borderId="4" xfId="0" applyNumberFormat="1" applyFont="1" applyFill="1" applyBorder="1"/>
    <xf numFmtId="2" fontId="126" fillId="0" borderId="4" xfId="0" applyNumberFormat="1" applyFont="1" applyFill="1" applyBorder="1"/>
    <xf numFmtId="10" fontId="123" fillId="0" borderId="0" xfId="58" applyNumberFormat="1" applyFont="1" applyFill="1" applyBorder="1" applyAlignment="1">
      <alignment vertical="center"/>
    </xf>
    <xf numFmtId="1" fontId="120" fillId="0" borderId="0" xfId="0" applyNumberFormat="1" applyFont="1" applyFill="1" applyAlignment="1"/>
    <xf numFmtId="9" fontId="120" fillId="0" borderId="0" xfId="58" applyFont="1" applyFill="1" applyAlignment="1"/>
    <xf numFmtId="10" fontId="125" fillId="0" borderId="4" xfId="0" applyNumberFormat="1" applyFont="1" applyFill="1" applyBorder="1" applyAlignment="1">
      <alignment vertical="center"/>
    </xf>
    <xf numFmtId="10" fontId="117" fillId="0" borderId="4" xfId="0" applyNumberFormat="1" applyFont="1" applyFill="1" applyBorder="1" applyAlignment="1"/>
    <xf numFmtId="0" fontId="183" fillId="0" borderId="0" xfId="4200" applyFont="1" applyFill="1" applyAlignment="1"/>
    <xf numFmtId="10" fontId="183" fillId="0" borderId="0" xfId="4208" applyNumberFormat="1" applyFont="1" applyFill="1"/>
    <xf numFmtId="0" fontId="188" fillId="0" borderId="0" xfId="4200" applyFont="1" applyFill="1" applyAlignment="1"/>
    <xf numFmtId="10" fontId="188" fillId="0" borderId="0" xfId="4208" applyNumberFormat="1" applyFont="1" applyFill="1"/>
    <xf numFmtId="2" fontId="18" fillId="0" borderId="4" xfId="4199" applyNumberFormat="1" applyFont="1" applyBorder="1" applyAlignment="1">
      <alignment vertical="center" wrapText="1"/>
    </xf>
    <xf numFmtId="2" fontId="18" fillId="68" borderId="4" xfId="4199" applyNumberFormat="1" applyFont="1" applyFill="1" applyBorder="1" applyAlignment="1">
      <alignment vertical="center" wrapText="1"/>
    </xf>
    <xf numFmtId="2" fontId="18" fillId="69" borderId="4" xfId="4199" applyNumberFormat="1" applyFont="1" applyFill="1" applyBorder="1" applyAlignment="1">
      <alignment vertical="center" wrapText="1"/>
    </xf>
    <xf numFmtId="2" fontId="18" fillId="68" borderId="4" xfId="4200" applyNumberFormat="1" applyFont="1" applyFill="1" applyBorder="1" applyAlignment="1"/>
    <xf numFmtId="2" fontId="237" fillId="0" borderId="4" xfId="4199" applyNumberFormat="1" applyFont="1" applyBorder="1" applyAlignment="1">
      <alignment vertical="center" wrapText="1"/>
    </xf>
    <xf numFmtId="2" fontId="237" fillId="68" borderId="4" xfId="4199" applyNumberFormat="1" applyFont="1" applyFill="1" applyBorder="1" applyAlignment="1">
      <alignment vertical="center" wrapText="1"/>
    </xf>
    <xf numFmtId="2" fontId="237" fillId="69" borderId="4" xfId="4199" applyNumberFormat="1" applyFont="1" applyFill="1" applyBorder="1" applyAlignment="1">
      <alignment vertical="center" wrapText="1"/>
    </xf>
    <xf numFmtId="0" fontId="0" fillId="0" borderId="172" xfId="0" applyFill="1" applyBorder="1"/>
    <xf numFmtId="202" fontId="192" fillId="0" borderId="172" xfId="0" applyNumberFormat="1" applyFont="1" applyFill="1" applyBorder="1" applyAlignment="1">
      <alignment horizontal="right" vertical="top"/>
    </xf>
    <xf numFmtId="211" fontId="193" fillId="0" borderId="19" xfId="0" applyNumberFormat="1" applyFont="1" applyFill="1" applyBorder="1" applyAlignment="1">
      <alignment horizontal="right" vertical="top"/>
    </xf>
    <xf numFmtId="202" fontId="193" fillId="0" borderId="19" xfId="0" applyNumberFormat="1" applyFont="1" applyFill="1" applyBorder="1" applyAlignment="1">
      <alignment horizontal="right" vertical="top"/>
    </xf>
    <xf numFmtId="209" fontId="193" fillId="0" borderId="19" xfId="0" applyNumberFormat="1" applyFont="1" applyFill="1" applyBorder="1" applyAlignment="1">
      <alignment horizontal="right" vertical="top"/>
    </xf>
    <xf numFmtId="211" fontId="194" fillId="0" borderId="0" xfId="0" applyNumberFormat="1" applyFont="1" applyFill="1" applyAlignment="1">
      <alignment horizontal="right" vertical="top"/>
    </xf>
    <xf numFmtId="202" fontId="194" fillId="0" borderId="0" xfId="0" applyNumberFormat="1" applyFont="1" applyFill="1" applyAlignment="1">
      <alignment horizontal="right" vertical="top"/>
    </xf>
    <xf numFmtId="209" fontId="193" fillId="0" borderId="0" xfId="0" applyNumberFormat="1" applyFont="1" applyFill="1" applyAlignment="1">
      <alignment horizontal="right" vertical="top"/>
    </xf>
    <xf numFmtId="202" fontId="193" fillId="0" borderId="0" xfId="0" applyNumberFormat="1" applyFont="1" applyFill="1" applyAlignment="1">
      <alignment horizontal="right" vertical="top"/>
    </xf>
    <xf numFmtId="202" fontId="194" fillId="0" borderId="19" xfId="0" applyNumberFormat="1" applyFont="1" applyFill="1" applyBorder="1" applyAlignment="1">
      <alignment horizontal="right" vertical="top"/>
    </xf>
    <xf numFmtId="210" fontId="192" fillId="0" borderId="19" xfId="0" applyNumberFormat="1" applyFont="1" applyFill="1" applyBorder="1" applyAlignment="1">
      <alignment horizontal="right" vertical="top"/>
    </xf>
    <xf numFmtId="202" fontId="193" fillId="0" borderId="134" xfId="0" applyNumberFormat="1" applyFont="1" applyFill="1" applyBorder="1" applyAlignment="1">
      <alignment horizontal="right" vertical="top"/>
    </xf>
    <xf numFmtId="211" fontId="193" fillId="0" borderId="134" xfId="0" applyNumberFormat="1" applyFont="1" applyFill="1" applyBorder="1" applyAlignment="1">
      <alignment horizontal="right" vertical="top"/>
    </xf>
    <xf numFmtId="210" fontId="193" fillId="0" borderId="134" xfId="0" applyNumberFormat="1" applyFont="1" applyFill="1" applyBorder="1" applyAlignment="1">
      <alignment horizontal="right" vertical="top"/>
    </xf>
    <xf numFmtId="210" fontId="194" fillId="0" borderId="0" xfId="0" applyNumberFormat="1" applyFont="1" applyFill="1" applyAlignment="1">
      <alignment horizontal="right" vertical="top"/>
    </xf>
    <xf numFmtId="210" fontId="193" fillId="0" borderId="19" xfId="0" applyNumberFormat="1" applyFont="1" applyFill="1" applyBorder="1" applyAlignment="1">
      <alignment horizontal="right" vertical="top"/>
    </xf>
    <xf numFmtId="210" fontId="193" fillId="0" borderId="0" xfId="0" applyNumberFormat="1" applyFont="1" applyFill="1" applyAlignment="1">
      <alignment horizontal="right" vertical="top"/>
    </xf>
    <xf numFmtId="202" fontId="195" fillId="0" borderId="19" xfId="0" applyNumberFormat="1" applyFont="1" applyFill="1" applyBorder="1" applyAlignment="1">
      <alignment horizontal="right" vertical="top"/>
    </xf>
    <xf numFmtId="211" fontId="194" fillId="0" borderId="19" xfId="0" applyNumberFormat="1" applyFont="1" applyFill="1" applyBorder="1" applyAlignment="1">
      <alignment horizontal="right" vertical="top"/>
    </xf>
    <xf numFmtId="202" fontId="194" fillId="0" borderId="134" xfId="0" applyNumberFormat="1" applyFont="1" applyFill="1" applyBorder="1" applyAlignment="1">
      <alignment horizontal="right" vertical="top"/>
    </xf>
    <xf numFmtId="211" fontId="194" fillId="0" borderId="134" xfId="0" applyNumberFormat="1" applyFont="1" applyFill="1" applyBorder="1" applyAlignment="1">
      <alignment horizontal="right" vertical="top"/>
    </xf>
    <xf numFmtId="210" fontId="194" fillId="0" borderId="134" xfId="0" applyNumberFormat="1" applyFont="1" applyFill="1" applyBorder="1" applyAlignment="1">
      <alignment horizontal="right" vertical="top"/>
    </xf>
    <xf numFmtId="211" fontId="193" fillId="0" borderId="0" xfId="0" applyNumberFormat="1" applyFont="1" applyFill="1" applyAlignment="1">
      <alignment horizontal="right" vertical="top"/>
    </xf>
    <xf numFmtId="209" fontId="192" fillId="0" borderId="19" xfId="0" applyNumberFormat="1" applyFont="1" applyFill="1" applyBorder="1" applyAlignment="1">
      <alignment horizontal="right" vertical="top"/>
    </xf>
    <xf numFmtId="209" fontId="193" fillId="0" borderId="134" xfId="0" applyNumberFormat="1" applyFont="1" applyFill="1" applyBorder="1" applyAlignment="1">
      <alignment horizontal="right" vertical="top"/>
    </xf>
    <xf numFmtId="209" fontId="194" fillId="0" borderId="134" xfId="0" applyNumberFormat="1" applyFont="1" applyFill="1" applyBorder="1" applyAlignment="1">
      <alignment horizontal="right" vertical="top"/>
    </xf>
    <xf numFmtId="0" fontId="125" fillId="0" borderId="4" xfId="0" applyFont="1" applyFill="1" applyBorder="1" applyAlignment="1">
      <alignment horizontal="center"/>
    </xf>
    <xf numFmtId="1" fontId="155" fillId="0" borderId="4" xfId="0" applyNumberFormat="1" applyFont="1" applyFill="1" applyBorder="1" applyAlignment="1">
      <alignment horizontal="center" vertical="center"/>
    </xf>
    <xf numFmtId="0" fontId="239" fillId="0" borderId="0" xfId="0" applyFont="1"/>
    <xf numFmtId="165" fontId="125" fillId="0" borderId="0" xfId="0" applyNumberFormat="1" applyFont="1" applyBorder="1" applyAlignment="1"/>
    <xf numFmtId="0" fontId="9" fillId="0" borderId="23" xfId="1" applyFont="1" applyBorder="1" applyAlignment="1">
      <alignment horizontal="center"/>
    </xf>
    <xf numFmtId="0" fontId="11" fillId="0" borderId="11" xfId="0" applyFont="1" applyBorder="1" applyAlignment="1">
      <alignment horizontal="center"/>
    </xf>
    <xf numFmtId="0" fontId="13" fillId="0" borderId="14" xfId="1" applyFont="1" applyFill="1" applyBorder="1" applyAlignment="1">
      <alignment horizontal="center"/>
    </xf>
    <xf numFmtId="0" fontId="13" fillId="0" borderId="0" xfId="1" applyFont="1" applyFill="1" applyAlignment="1">
      <alignment horizontal="center"/>
    </xf>
    <xf numFmtId="0" fontId="14" fillId="6" borderId="0" xfId="1" applyFont="1" applyFill="1" applyBorder="1" applyAlignment="1">
      <alignment horizontal="center" vertical="center" wrapText="1"/>
    </xf>
    <xf numFmtId="0" fontId="13" fillId="7" borderId="0" xfId="1" applyFont="1" applyFill="1" applyAlignment="1">
      <alignment horizontal="left"/>
    </xf>
    <xf numFmtId="0" fontId="9" fillId="0" borderId="0" xfId="1" applyFont="1" applyAlignment="1">
      <alignment horizontal="center"/>
    </xf>
    <xf numFmtId="0" fontId="238" fillId="0" borderId="0" xfId="0" applyFont="1" applyAlignment="1">
      <alignment horizontal="center" vertical="center" wrapText="1"/>
    </xf>
    <xf numFmtId="0" fontId="119" fillId="4" borderId="4" xfId="0" applyFont="1" applyFill="1" applyBorder="1" applyAlignment="1">
      <alignment horizontal="left" vertical="center"/>
    </xf>
    <xf numFmtId="0" fontId="119" fillId="4" borderId="4" xfId="0" applyFont="1" applyFill="1" applyBorder="1" applyAlignment="1">
      <alignment horizontal="left" vertical="justify"/>
    </xf>
    <xf numFmtId="0" fontId="119" fillId="4" borderId="30" xfId="0" applyFont="1" applyFill="1" applyBorder="1" applyAlignment="1">
      <alignment horizontal="left" vertical="justify"/>
    </xf>
    <xf numFmtId="0" fontId="119" fillId="4" borderId="2" xfId="0" applyFont="1" applyFill="1" applyBorder="1" applyAlignment="1">
      <alignment horizontal="left" vertical="justify"/>
    </xf>
    <xf numFmtId="0" fontId="119" fillId="4" borderId="31" xfId="0" applyFont="1" applyFill="1" applyBorder="1" applyAlignment="1">
      <alignment horizontal="left" vertical="justify"/>
    </xf>
    <xf numFmtId="0" fontId="118" fillId="5" borderId="0" xfId="0" applyFont="1" applyFill="1" applyBorder="1" applyAlignment="1">
      <alignment horizontal="center" vertical="center" wrapText="1"/>
    </xf>
    <xf numFmtId="0" fontId="128" fillId="0" borderId="0" xfId="0" applyFont="1" applyFill="1" applyBorder="1" applyAlignment="1">
      <alignment vertical="center" wrapText="1"/>
    </xf>
    <xf numFmtId="0" fontId="125" fillId="0" borderId="0" xfId="0" applyFont="1" applyAlignment="1">
      <alignment horizontal="center" vertical="center" wrapText="1"/>
    </xf>
    <xf numFmtId="0" fontId="119" fillId="12" borderId="133" xfId="0" applyFont="1" applyFill="1" applyBorder="1" applyAlignment="1">
      <alignment horizontal="center" vertical="center" wrapText="1"/>
    </xf>
    <xf numFmtId="0" fontId="119" fillId="12" borderId="11" xfId="0" applyFont="1" applyFill="1" applyBorder="1" applyAlignment="1">
      <alignment horizontal="center" vertical="center" wrapText="1"/>
    </xf>
    <xf numFmtId="0" fontId="120" fillId="0" borderId="19" xfId="0" applyFont="1" applyBorder="1" applyAlignment="1">
      <alignment horizontal="center" vertical="center" wrapText="1"/>
    </xf>
    <xf numFmtId="0" fontId="127" fillId="0" borderId="0" xfId="0" applyFont="1" applyBorder="1" applyAlignment="1">
      <alignment horizontal="left" vertical="center" wrapText="1"/>
    </xf>
    <xf numFmtId="0" fontId="127" fillId="0" borderId="19" xfId="0" applyFont="1" applyBorder="1" applyAlignment="1">
      <alignment horizontal="left" vertical="center" wrapText="1"/>
    </xf>
    <xf numFmtId="0" fontId="119" fillId="0" borderId="147" xfId="0" applyFont="1" applyFill="1" applyBorder="1" applyAlignment="1">
      <alignment horizontal="center" vertical="center" wrapText="1"/>
    </xf>
    <xf numFmtId="0" fontId="119" fillId="0" borderId="148" xfId="0" applyFont="1" applyFill="1" applyBorder="1" applyAlignment="1">
      <alignment horizontal="center" vertical="center" wrapText="1"/>
    </xf>
    <xf numFmtId="0" fontId="119" fillId="0" borderId="15" xfId="0" applyFont="1" applyFill="1" applyBorder="1" applyAlignment="1">
      <alignment horizontal="center" vertical="center" wrapText="1"/>
    </xf>
    <xf numFmtId="0" fontId="119" fillId="0" borderId="27" xfId="0" applyFont="1" applyFill="1" applyBorder="1" applyAlignment="1">
      <alignment horizontal="center" vertical="center" wrapText="1"/>
    </xf>
    <xf numFmtId="0" fontId="120" fillId="0" borderId="133" xfId="0" applyFont="1" applyBorder="1" applyAlignment="1">
      <alignment horizontal="center" vertical="center" wrapText="1"/>
    </xf>
    <xf numFmtId="0" fontId="120" fillId="0" borderId="16" xfId="0" applyFont="1" applyBorder="1" applyAlignment="1">
      <alignment horizontal="center" vertical="center" wrapText="1"/>
    </xf>
    <xf numFmtId="0" fontId="120" fillId="0" borderId="11" xfId="0" applyFont="1" applyBorder="1" applyAlignment="1">
      <alignment horizontal="center" vertical="center" wrapText="1"/>
    </xf>
    <xf numFmtId="0" fontId="160" fillId="0" borderId="47" xfId="0" applyFont="1" applyFill="1" applyBorder="1" applyAlignment="1">
      <alignment horizontal="left" vertical="center" wrapText="1"/>
    </xf>
    <xf numFmtId="0" fontId="119" fillId="5" borderId="0" xfId="0" applyFont="1" applyFill="1" applyBorder="1" applyAlignment="1">
      <alignment horizontal="center"/>
    </xf>
    <xf numFmtId="0" fontId="119" fillId="9" borderId="10" xfId="17" applyFont="1" applyFill="1" applyBorder="1" applyAlignment="1">
      <alignment horizontal="center" vertical="center" wrapText="1"/>
    </xf>
    <xf numFmtId="0" fontId="119" fillId="9" borderId="134" xfId="17" applyFont="1" applyFill="1" applyBorder="1" applyAlignment="1">
      <alignment horizontal="center" vertical="center" wrapText="1"/>
    </xf>
    <xf numFmtId="0" fontId="119" fillId="9" borderId="20" xfId="17" applyFont="1" applyFill="1" applyBorder="1" applyAlignment="1">
      <alignment horizontal="center" vertical="center" wrapText="1"/>
    </xf>
    <xf numFmtId="0" fontId="128" fillId="0" borderId="0" xfId="0" applyFont="1" applyFill="1" applyBorder="1" applyAlignment="1">
      <alignment horizontal="left" vertical="center" wrapText="1"/>
    </xf>
    <xf numFmtId="0" fontId="125" fillId="0" borderId="0" xfId="0" applyFont="1" applyAlignment="1">
      <alignment horizontal="center"/>
    </xf>
    <xf numFmtId="0" fontId="119" fillId="0" borderId="4" xfId="0" applyFont="1" applyFill="1" applyBorder="1" applyAlignment="1">
      <alignment horizontal="center" vertical="center" wrapText="1"/>
    </xf>
    <xf numFmtId="0" fontId="120" fillId="0" borderId="19" xfId="0" applyFont="1" applyBorder="1" applyAlignment="1">
      <alignment horizontal="center"/>
    </xf>
    <xf numFmtId="0" fontId="119" fillId="0" borderId="0" xfId="0" applyFont="1" applyFill="1" applyBorder="1" applyAlignment="1">
      <alignment horizontal="center" vertical="center"/>
    </xf>
    <xf numFmtId="0" fontId="119" fillId="0" borderId="19" xfId="0" applyFont="1" applyFill="1" applyBorder="1" applyAlignment="1">
      <alignment horizontal="center" vertical="center"/>
    </xf>
    <xf numFmtId="0" fontId="125" fillId="0" borderId="165" xfId="0" applyFont="1" applyBorder="1" applyAlignment="1">
      <alignment horizontal="center" vertical="center" wrapText="1"/>
    </xf>
    <xf numFmtId="0" fontId="125" fillId="0" borderId="47" xfId="0" applyFont="1" applyBorder="1" applyAlignment="1">
      <alignment horizontal="center" vertical="center" wrapText="1"/>
    </xf>
    <xf numFmtId="0" fontId="125" fillId="0" borderId="166" xfId="0" applyFont="1" applyBorder="1" applyAlignment="1">
      <alignment horizontal="center" vertical="center" wrapText="1"/>
    </xf>
    <xf numFmtId="0" fontId="125" fillId="0" borderId="24" xfId="0" applyFont="1" applyBorder="1" applyAlignment="1">
      <alignment horizontal="center" vertical="center" wrapText="1"/>
    </xf>
    <xf numFmtId="0" fontId="125" fillId="0" borderId="0" xfId="0" applyFont="1" applyBorder="1" applyAlignment="1">
      <alignment horizontal="center" vertical="center" wrapText="1"/>
    </xf>
    <xf numFmtId="0" fontId="125" fillId="0" borderId="25" xfId="0" applyFont="1" applyBorder="1" applyAlignment="1">
      <alignment horizontal="center" vertical="center" wrapText="1"/>
    </xf>
    <xf numFmtId="0" fontId="125" fillId="0" borderId="15" xfId="0" applyFont="1" applyBorder="1" applyAlignment="1">
      <alignment horizontal="center" vertical="center" wrapText="1"/>
    </xf>
    <xf numFmtId="0" fontId="125" fillId="0" borderId="19" xfId="0" applyFont="1" applyBorder="1" applyAlignment="1">
      <alignment horizontal="center" vertical="center" wrapText="1"/>
    </xf>
    <xf numFmtId="0" fontId="125" fillId="0" borderId="27" xfId="0" applyFont="1" applyBorder="1" applyAlignment="1">
      <alignment horizontal="center" vertical="center" wrapText="1"/>
    </xf>
    <xf numFmtId="0" fontId="127" fillId="0" borderId="133" xfId="0" applyFont="1" applyFill="1" applyBorder="1" applyAlignment="1">
      <alignment horizontal="center" vertical="center"/>
    </xf>
    <xf numFmtId="0" fontId="127" fillId="0" borderId="16" xfId="0" applyFont="1" applyFill="1" applyBorder="1" applyAlignment="1">
      <alignment horizontal="center" vertical="center"/>
    </xf>
    <xf numFmtId="0" fontId="127" fillId="0" borderId="11" xfId="0" applyFont="1" applyFill="1" applyBorder="1" applyAlignment="1">
      <alignment horizontal="center" vertical="center"/>
    </xf>
    <xf numFmtId="0" fontId="129" fillId="0" borderId="0" xfId="0" applyFont="1" applyAlignment="1">
      <alignment horizontal="center"/>
    </xf>
    <xf numFmtId="0" fontId="130" fillId="0" borderId="19" xfId="0" applyFont="1" applyBorder="1" applyAlignment="1">
      <alignment horizontal="center"/>
    </xf>
    <xf numFmtId="0" fontId="130" fillId="0" borderId="133" xfId="0" applyFont="1" applyFill="1" applyBorder="1" applyAlignment="1">
      <alignment horizontal="center" vertical="center"/>
    </xf>
    <xf numFmtId="0" fontId="130" fillId="0" borderId="11" xfId="0" applyFont="1" applyFill="1" applyBorder="1" applyAlignment="1">
      <alignment horizontal="center" vertical="center"/>
    </xf>
    <xf numFmtId="0" fontId="127" fillId="2" borderId="133" xfId="0" applyFont="1" applyFill="1" applyBorder="1" applyAlignment="1">
      <alignment horizontal="center" vertical="center"/>
    </xf>
    <xf numFmtId="0" fontId="127" fillId="2" borderId="16" xfId="0" applyFont="1" applyFill="1" applyBorder="1" applyAlignment="1">
      <alignment horizontal="center" vertical="center"/>
    </xf>
    <xf numFmtId="0" fontId="127" fillId="2" borderId="11" xfId="0" applyFont="1" applyFill="1" applyBorder="1" applyAlignment="1">
      <alignment horizontal="center" vertical="center"/>
    </xf>
    <xf numFmtId="0" fontId="127" fillId="0" borderId="147" xfId="0" applyFont="1" applyFill="1" applyBorder="1" applyAlignment="1">
      <alignment horizontal="center" vertical="center" wrapText="1"/>
    </xf>
    <xf numFmtId="0" fontId="127" fillId="0" borderId="47" xfId="0" applyFont="1" applyFill="1" applyBorder="1" applyAlignment="1">
      <alignment horizontal="center" vertical="center" wrapText="1"/>
    </xf>
    <xf numFmtId="0" fontId="127" fillId="0" borderId="148" xfId="0" applyFont="1" applyFill="1" applyBorder="1" applyAlignment="1">
      <alignment horizontal="center" vertical="center" wrapText="1"/>
    </xf>
    <xf numFmtId="0" fontId="127" fillId="0" borderId="15" xfId="0" applyFont="1" applyFill="1" applyBorder="1" applyAlignment="1">
      <alignment horizontal="center" vertical="center" wrapText="1"/>
    </xf>
    <xf numFmtId="0" fontId="127" fillId="0" borderId="19" xfId="0" applyFont="1" applyFill="1" applyBorder="1" applyAlignment="1">
      <alignment horizontal="center" vertical="center" wrapText="1"/>
    </xf>
    <xf numFmtId="0" fontId="127" fillId="0" borderId="27" xfId="0" applyFont="1" applyFill="1" applyBorder="1" applyAlignment="1">
      <alignment horizontal="center" vertical="center" wrapText="1"/>
    </xf>
    <xf numFmtId="0" fontId="130" fillId="0" borderId="165" xfId="0" applyFont="1" applyFill="1" applyBorder="1" applyAlignment="1">
      <alignment horizontal="center" vertical="center" wrapText="1"/>
    </xf>
    <xf numFmtId="0" fontId="130" fillId="0" borderId="47" xfId="0" applyFont="1" applyFill="1" applyBorder="1" applyAlignment="1">
      <alignment horizontal="center" vertical="center" wrapText="1"/>
    </xf>
    <xf numFmtId="0" fontId="130" fillId="0" borderId="166" xfId="0" applyFont="1" applyFill="1" applyBorder="1" applyAlignment="1">
      <alignment horizontal="center" vertical="center" wrapText="1"/>
    </xf>
    <xf numFmtId="0" fontId="130" fillId="0" borderId="24" xfId="0" applyFont="1" applyFill="1" applyBorder="1" applyAlignment="1">
      <alignment horizontal="center" vertical="center" wrapText="1"/>
    </xf>
    <xf numFmtId="0" fontId="130" fillId="0" borderId="0" xfId="0" applyFont="1" applyFill="1" applyBorder="1" applyAlignment="1">
      <alignment horizontal="center" vertical="center" wrapText="1"/>
    </xf>
    <xf numFmtId="0" fontId="130" fillId="0" borderId="25" xfId="0" applyFont="1" applyFill="1" applyBorder="1" applyAlignment="1">
      <alignment horizontal="center" vertical="center" wrapText="1"/>
    </xf>
    <xf numFmtId="0" fontId="130" fillId="0" borderId="15" xfId="0" applyFont="1" applyFill="1" applyBorder="1" applyAlignment="1">
      <alignment horizontal="center" vertical="center" wrapText="1"/>
    </xf>
    <xf numFmtId="0" fontId="130" fillId="0" borderId="19" xfId="0" applyFont="1" applyFill="1" applyBorder="1" applyAlignment="1">
      <alignment horizontal="center" vertical="center" wrapText="1"/>
    </xf>
    <xf numFmtId="0" fontId="130" fillId="0" borderId="27" xfId="0" applyFont="1" applyFill="1" applyBorder="1" applyAlignment="1">
      <alignment horizontal="center" vertical="center" wrapText="1"/>
    </xf>
    <xf numFmtId="0" fontId="209" fillId="0" borderId="0" xfId="0" applyFont="1" applyFill="1" applyBorder="1" applyAlignment="1">
      <alignment horizontal="left" vertical="top"/>
    </xf>
    <xf numFmtId="0" fontId="209" fillId="0" borderId="0" xfId="17" applyFont="1" applyFill="1" applyBorder="1" applyAlignment="1">
      <alignment vertical="top"/>
    </xf>
    <xf numFmtId="0" fontId="210" fillId="0" borderId="0" xfId="0" applyFont="1" applyFill="1" applyBorder="1" applyAlignment="1">
      <alignment vertical="top"/>
    </xf>
    <xf numFmtId="0" fontId="125" fillId="0" borderId="10" xfId="0" applyFont="1" applyFill="1" applyBorder="1" applyAlignment="1">
      <alignment vertical="top"/>
    </xf>
    <xf numFmtId="0" fontId="125" fillId="0" borderId="134" xfId="0" applyFont="1" applyFill="1" applyBorder="1" applyAlignment="1">
      <alignment vertical="top"/>
    </xf>
    <xf numFmtId="0" fontId="212" fillId="0" borderId="133" xfId="17" applyFont="1" applyFill="1" applyBorder="1" applyAlignment="1">
      <alignment horizontal="center" vertical="top"/>
    </xf>
    <xf numFmtId="0" fontId="212" fillId="0" borderId="11" xfId="17" applyFont="1" applyFill="1" applyBorder="1" applyAlignment="1">
      <alignment horizontal="center" vertical="top"/>
    </xf>
    <xf numFmtId="0" fontId="211" fillId="0" borderId="133" xfId="0" applyFont="1" applyFill="1" applyBorder="1" applyAlignment="1">
      <alignment horizontal="center" vertical="top" wrapText="1"/>
    </xf>
    <xf numFmtId="0" fontId="211" fillId="0" borderId="11" xfId="0" applyFont="1" applyFill="1" applyBorder="1" applyAlignment="1">
      <alignment horizontal="center" vertical="top" wrapText="1"/>
    </xf>
    <xf numFmtId="0" fontId="209" fillId="0" borderId="19" xfId="0" applyFont="1" applyFill="1" applyBorder="1" applyAlignment="1">
      <alignment horizontal="center" vertical="top"/>
    </xf>
    <xf numFmtId="0" fontId="125" fillId="0" borderId="10" xfId="0" applyFont="1" applyFill="1" applyBorder="1" applyAlignment="1">
      <alignment vertical="top" wrapText="1"/>
    </xf>
    <xf numFmtId="0" fontId="125" fillId="0" borderId="134" xfId="0" applyFont="1" applyFill="1" applyBorder="1" applyAlignment="1">
      <alignment vertical="top" wrapText="1"/>
    </xf>
    <xf numFmtId="0" fontId="125" fillId="0" borderId="20" xfId="0" applyFont="1" applyFill="1" applyBorder="1" applyAlignment="1">
      <alignment vertical="top" wrapText="1"/>
    </xf>
    <xf numFmtId="0" fontId="125" fillId="0" borderId="10" xfId="0" applyFont="1" applyFill="1" applyBorder="1" applyAlignment="1">
      <alignment horizontal="left" vertical="top"/>
    </xf>
    <xf numFmtId="0" fontId="125" fillId="0" borderId="134" xfId="0" applyFont="1" applyFill="1" applyBorder="1" applyAlignment="1">
      <alignment horizontal="left" vertical="top"/>
    </xf>
    <xf numFmtId="0" fontId="211" fillId="0" borderId="133" xfId="17" applyFont="1" applyFill="1" applyBorder="1" applyAlignment="1">
      <alignment horizontal="center" vertical="top"/>
    </xf>
    <xf numFmtId="0" fontId="211" fillId="0" borderId="11" xfId="17" applyFont="1" applyFill="1" applyBorder="1" applyAlignment="1">
      <alignment horizontal="center" vertical="top"/>
    </xf>
    <xf numFmtId="0" fontId="211" fillId="0" borderId="10" xfId="17" applyFont="1" applyFill="1" applyBorder="1" applyAlignment="1">
      <alignment horizontal="center" vertical="top" wrapText="1"/>
    </xf>
    <xf numFmtId="0" fontId="211" fillId="0" borderId="20" xfId="17" applyFont="1" applyFill="1" applyBorder="1" applyAlignment="1">
      <alignment horizontal="center" vertical="top" wrapText="1"/>
    </xf>
    <xf numFmtId="0" fontId="213" fillId="0" borderId="10" xfId="0" applyFont="1" applyFill="1" applyBorder="1" applyAlignment="1">
      <alignment horizontal="center" vertical="top" wrapText="1"/>
    </xf>
    <xf numFmtId="0" fontId="213" fillId="0" borderId="134" xfId="0" applyFont="1" applyFill="1" applyBorder="1" applyAlignment="1">
      <alignment horizontal="center" vertical="top" wrapText="1"/>
    </xf>
    <xf numFmtId="0" fontId="213" fillId="0" borderId="20" xfId="0" applyFont="1" applyFill="1" applyBorder="1" applyAlignment="1">
      <alignment horizontal="center" vertical="top" wrapText="1"/>
    </xf>
    <xf numFmtId="0" fontId="216" fillId="0" borderId="0" xfId="0" applyFont="1" applyAlignment="1">
      <alignment horizontal="center" vertical="top"/>
    </xf>
    <xf numFmtId="0" fontId="211" fillId="0" borderId="134" xfId="17" applyFont="1" applyFill="1" applyBorder="1" applyAlignment="1">
      <alignment horizontal="center" vertical="top" wrapText="1"/>
    </xf>
    <xf numFmtId="0" fontId="121" fillId="0" borderId="0" xfId="17" applyFont="1" applyFill="1" applyBorder="1" applyAlignment="1">
      <alignment vertical="top"/>
    </xf>
    <xf numFmtId="0" fontId="132" fillId="0" borderId="0" xfId="0" applyFont="1" applyFill="1" applyBorder="1" applyAlignment="1">
      <alignment vertical="top"/>
    </xf>
    <xf numFmtId="0" fontId="129" fillId="0" borderId="0" xfId="0" applyFont="1" applyAlignment="1">
      <alignment horizontal="center" vertical="top"/>
    </xf>
    <xf numFmtId="0" fontId="122" fillId="66" borderId="4" xfId="17" applyFont="1" applyFill="1" applyBorder="1" applyAlignment="1">
      <alignment horizontal="center" vertical="top"/>
    </xf>
    <xf numFmtId="0" fontId="122" fillId="66" borderId="4" xfId="17" applyFont="1" applyFill="1" applyBorder="1" applyAlignment="1">
      <alignment horizontal="center" vertical="top" wrapText="1"/>
    </xf>
    <xf numFmtId="0" fontId="126" fillId="0" borderId="0" xfId="0" applyFont="1" applyBorder="1" applyAlignment="1">
      <alignment horizontal="center"/>
    </xf>
    <xf numFmtId="0" fontId="124" fillId="0" borderId="0" xfId="17" applyFont="1" applyFill="1" applyBorder="1" applyAlignment="1">
      <alignment horizontal="left" vertical="center"/>
    </xf>
    <xf numFmtId="0" fontId="119" fillId="0" borderId="19" xfId="17" applyFont="1" applyFill="1" applyBorder="1" applyAlignment="1">
      <alignment horizontal="center"/>
    </xf>
    <xf numFmtId="0" fontId="119" fillId="12" borderId="149" xfId="0" applyFont="1" applyFill="1" applyBorder="1" applyAlignment="1">
      <alignment horizontal="center" vertical="center" wrapText="1"/>
    </xf>
    <xf numFmtId="0" fontId="119" fillId="12" borderId="150" xfId="0" applyFont="1" applyFill="1" applyBorder="1" applyAlignment="1">
      <alignment horizontal="center" vertical="center" wrapText="1"/>
    </xf>
    <xf numFmtId="0" fontId="119" fillId="0" borderId="0" xfId="17" applyFont="1" applyFill="1" applyBorder="1" applyAlignment="1">
      <alignment horizontal="center" vertical="center" wrapText="1"/>
    </xf>
    <xf numFmtId="0" fontId="119" fillId="0" borderId="4" xfId="17" applyFont="1" applyFill="1" applyBorder="1" applyAlignment="1">
      <alignment horizontal="center" vertical="center" wrapText="1"/>
    </xf>
    <xf numFmtId="0" fontId="120" fillId="0" borderId="4" xfId="17" applyFont="1" applyFill="1" applyBorder="1" applyAlignment="1">
      <alignment horizontal="center" vertical="center"/>
    </xf>
    <xf numFmtId="0" fontId="119" fillId="0" borderId="10" xfId="17" applyFont="1" applyFill="1" applyBorder="1" applyAlignment="1">
      <alignment horizontal="center" vertical="center"/>
    </xf>
    <xf numFmtId="0" fontId="119" fillId="0" borderId="20" xfId="17" applyFont="1" applyFill="1" applyBorder="1" applyAlignment="1">
      <alignment horizontal="center" vertical="center"/>
    </xf>
    <xf numFmtId="0" fontId="126" fillId="0" borderId="10" xfId="0" applyFont="1" applyFill="1" applyBorder="1" applyAlignment="1">
      <alignment horizontal="center" vertical="center" wrapText="1"/>
    </xf>
    <xf numFmtId="0" fontId="126" fillId="0" borderId="134" xfId="0" applyFont="1" applyFill="1" applyBorder="1" applyAlignment="1">
      <alignment horizontal="center" vertical="center" wrapText="1"/>
    </xf>
    <xf numFmtId="0" fontId="126" fillId="0" borderId="20" xfId="0" applyFont="1" applyFill="1" applyBorder="1" applyAlignment="1">
      <alignment horizontal="center" vertical="center" wrapText="1"/>
    </xf>
    <xf numFmtId="43" fontId="125" fillId="0" borderId="133" xfId="72" applyFont="1" applyFill="1" applyBorder="1" applyAlignment="1">
      <alignment horizontal="center" vertical="center"/>
    </xf>
    <xf numFmtId="43" fontId="125" fillId="0" borderId="16" xfId="72" applyFont="1" applyFill="1" applyBorder="1" applyAlignment="1">
      <alignment horizontal="center" vertical="center"/>
    </xf>
    <xf numFmtId="0" fontId="119" fillId="0" borderId="10" xfId="17" applyFont="1" applyFill="1" applyBorder="1" applyAlignment="1">
      <alignment horizontal="center" vertical="center" wrapText="1"/>
    </xf>
    <xf numFmtId="0" fontId="119" fillId="0" borderId="134" xfId="17" applyFont="1" applyFill="1" applyBorder="1" applyAlignment="1">
      <alignment horizontal="center" vertical="center" wrapText="1"/>
    </xf>
    <xf numFmtId="0" fontId="119" fillId="0" borderId="20" xfId="17" applyFont="1" applyFill="1" applyBorder="1" applyAlignment="1">
      <alignment horizontal="center" vertical="center" wrapText="1"/>
    </xf>
    <xf numFmtId="0" fontId="126" fillId="0" borderId="11" xfId="0" applyFont="1" applyFill="1" applyBorder="1" applyAlignment="1">
      <alignment horizontal="center"/>
    </xf>
    <xf numFmtId="0" fontId="126" fillId="0" borderId="4" xfId="0" applyFont="1" applyFill="1" applyBorder="1" applyAlignment="1">
      <alignment horizontal="center"/>
    </xf>
    <xf numFmtId="0" fontId="126" fillId="0" borderId="11" xfId="0" applyFont="1" applyFill="1" applyBorder="1" applyAlignment="1">
      <alignment horizontal="center" vertical="center"/>
    </xf>
    <xf numFmtId="0" fontId="126" fillId="0" borderId="4" xfId="0" applyFont="1" applyFill="1" applyBorder="1" applyAlignment="1">
      <alignment horizontal="center" vertical="center"/>
    </xf>
    <xf numFmtId="0" fontId="126" fillId="0" borderId="4" xfId="0" applyFont="1" applyFill="1" applyBorder="1" applyAlignment="1">
      <alignment horizontal="left" vertical="center"/>
    </xf>
    <xf numFmtId="0" fontId="126" fillId="0" borderId="4" xfId="0" applyFont="1" applyFill="1" applyBorder="1" applyAlignment="1">
      <alignment horizontal="left" vertical="center" wrapText="1"/>
    </xf>
    <xf numFmtId="0" fontId="125" fillId="0" borderId="4" xfId="0" applyFont="1" applyFill="1" applyBorder="1" applyAlignment="1">
      <alignment horizontal="left" vertical="center"/>
    </xf>
    <xf numFmtId="0" fontId="126" fillId="0" borderId="133" xfId="0" applyFont="1" applyFill="1" applyBorder="1" applyAlignment="1">
      <alignment horizontal="left" vertical="center"/>
    </xf>
    <xf numFmtId="0" fontId="126" fillId="0" borderId="0" xfId="0" applyFont="1" applyBorder="1" applyAlignment="1">
      <alignment horizontal="left"/>
    </xf>
    <xf numFmtId="0" fontId="161" fillId="0" borderId="0" xfId="0" applyFont="1" applyBorder="1" applyAlignment="1">
      <alignment horizontal="left"/>
    </xf>
    <xf numFmtId="0" fontId="126" fillId="0" borderId="11" xfId="0" applyFont="1" applyFill="1" applyBorder="1" applyAlignment="1">
      <alignment horizontal="left" vertical="center"/>
    </xf>
    <xf numFmtId="0" fontId="126" fillId="0" borderId="4" xfId="0" applyFont="1" applyBorder="1" applyAlignment="1">
      <alignment horizontal="center"/>
    </xf>
    <xf numFmtId="0" fontId="126" fillId="0" borderId="11" xfId="0" applyFont="1" applyBorder="1" applyAlignment="1">
      <alignment horizontal="center" vertical="center"/>
    </xf>
    <xf numFmtId="0" fontId="126" fillId="0" borderId="4" xfId="0" applyFont="1" applyBorder="1" applyAlignment="1">
      <alignment horizontal="center" vertical="center"/>
    </xf>
    <xf numFmtId="0" fontId="126" fillId="0" borderId="11" xfId="0" applyFont="1" applyBorder="1" applyAlignment="1">
      <alignment horizontal="center"/>
    </xf>
    <xf numFmtId="0" fontId="119" fillId="0" borderId="11" xfId="0" applyFont="1" applyFill="1" applyBorder="1" applyAlignment="1">
      <alignment horizontal="left" vertical="center"/>
    </xf>
    <xf numFmtId="0" fontId="126" fillId="0" borderId="10" xfId="0" applyFont="1" applyFill="1" applyBorder="1" applyAlignment="1">
      <alignment horizontal="center"/>
    </xf>
    <xf numFmtId="0" fontId="126" fillId="0" borderId="134" xfId="0" applyFont="1" applyFill="1" applyBorder="1" applyAlignment="1">
      <alignment horizontal="center"/>
    </xf>
    <xf numFmtId="0" fontId="126" fillId="0" borderId="20" xfId="0" applyFont="1" applyFill="1" applyBorder="1" applyAlignment="1">
      <alignment horizontal="center"/>
    </xf>
    <xf numFmtId="0" fontId="120" fillId="0" borderId="4" xfId="564" applyFont="1" applyFill="1" applyBorder="1" applyAlignment="1">
      <alignment horizontal="center" wrapText="1"/>
    </xf>
    <xf numFmtId="0" fontId="120" fillId="0" borderId="4" xfId="564" applyFont="1" applyFill="1" applyBorder="1" applyAlignment="1">
      <alignment horizontal="center"/>
    </xf>
    <xf numFmtId="0" fontId="127" fillId="0" borderId="0" xfId="17" applyFont="1" applyFill="1" applyBorder="1" applyAlignment="1">
      <alignment vertical="center"/>
    </xf>
    <xf numFmtId="0" fontId="130" fillId="0" borderId="0" xfId="0" applyFont="1" applyFill="1" applyBorder="1" applyAlignment="1">
      <alignment vertical="center"/>
    </xf>
    <xf numFmtId="0" fontId="120" fillId="0" borderId="4" xfId="564" applyFont="1" applyFill="1" applyBorder="1" applyAlignment="1">
      <alignment horizontal="center" vertical="center" wrapText="1"/>
    </xf>
    <xf numFmtId="0" fontId="120" fillId="0" borderId="19" xfId="17" applyFont="1" applyFill="1" applyBorder="1" applyAlignment="1">
      <alignment horizontal="center"/>
    </xf>
    <xf numFmtId="0" fontId="119" fillId="0" borderId="19" xfId="17" applyFont="1" applyFill="1" applyBorder="1" applyAlignment="1">
      <alignment horizontal="left" vertical="center"/>
    </xf>
    <xf numFmtId="0" fontId="119" fillId="0" borderId="0" xfId="564" applyFont="1" applyFill="1" applyBorder="1" applyAlignment="1">
      <alignment horizontal="left" vertical="center"/>
    </xf>
    <xf numFmtId="0" fontId="10" fillId="0" borderId="4" xfId="0" applyFont="1" applyFill="1" applyBorder="1" applyAlignment="1">
      <alignment horizontal="center" vertical="center" wrapText="1"/>
    </xf>
    <xf numFmtId="0" fontId="126" fillId="0" borderId="0" xfId="0" applyFont="1" applyFill="1" applyAlignment="1">
      <alignment horizontal="center" vertical="center"/>
    </xf>
    <xf numFmtId="0" fontId="126" fillId="0" borderId="0" xfId="0" applyFont="1" applyFill="1" applyAlignment="1">
      <alignment horizontal="left" vertical="center"/>
    </xf>
    <xf numFmtId="0" fontId="126" fillId="0" borderId="19" xfId="0" applyFont="1" applyFill="1" applyBorder="1" applyAlignment="1">
      <alignment horizontal="left" vertical="center"/>
    </xf>
    <xf numFmtId="0" fontId="126" fillId="0" borderId="0" xfId="0" applyFont="1" applyFill="1" applyBorder="1" applyAlignment="1">
      <alignment horizontal="left" vertical="center"/>
    </xf>
    <xf numFmtId="0" fontId="126" fillId="0" borderId="133" xfId="0" applyFont="1" applyFill="1" applyBorder="1" applyAlignment="1">
      <alignment horizontal="center" vertical="center"/>
    </xf>
    <xf numFmtId="0" fontId="126" fillId="0" borderId="16" xfId="0" applyFont="1" applyFill="1" applyBorder="1" applyAlignment="1">
      <alignment horizontal="center" vertical="center"/>
    </xf>
    <xf numFmtId="0" fontId="126" fillId="0" borderId="133" xfId="0" applyFont="1" applyFill="1" applyBorder="1" applyAlignment="1">
      <alignment horizontal="left" vertical="center" wrapText="1"/>
    </xf>
    <xf numFmtId="0" fontId="126" fillId="0" borderId="16" xfId="0" applyFont="1" applyFill="1" applyBorder="1" applyAlignment="1">
      <alignment horizontal="left" vertical="center" wrapText="1"/>
    </xf>
    <xf numFmtId="0" fontId="126" fillId="0" borderId="11" xfId="0" applyFont="1" applyFill="1" applyBorder="1" applyAlignment="1">
      <alignment horizontal="left" vertical="center" wrapText="1"/>
    </xf>
    <xf numFmtId="0" fontId="126" fillId="0" borderId="133" xfId="0" applyFont="1" applyFill="1" applyBorder="1" applyAlignment="1">
      <alignment horizontal="center" vertical="center" wrapText="1"/>
    </xf>
    <xf numFmtId="0" fontId="126" fillId="0" borderId="16" xfId="0" applyFont="1" applyFill="1" applyBorder="1" applyAlignment="1">
      <alignment horizontal="center" vertical="center" wrapText="1"/>
    </xf>
    <xf numFmtId="0" fontId="126" fillId="0" borderId="11" xfId="0" applyFont="1" applyFill="1" applyBorder="1" applyAlignment="1">
      <alignment horizontal="center" vertical="center" wrapText="1"/>
    </xf>
    <xf numFmtId="0" fontId="117" fillId="0" borderId="165" xfId="0" applyFont="1" applyFill="1" applyBorder="1" applyAlignment="1">
      <alignment horizontal="center" vertical="center" wrapText="1"/>
    </xf>
    <xf numFmtId="0" fontId="117" fillId="0" borderId="47" xfId="0" applyFont="1" applyFill="1" applyBorder="1" applyAlignment="1">
      <alignment horizontal="center" vertical="center" wrapText="1"/>
    </xf>
    <xf numFmtId="0" fontId="117" fillId="0" borderId="166" xfId="0" applyFont="1" applyFill="1" applyBorder="1" applyAlignment="1">
      <alignment horizontal="center" vertical="center" wrapText="1"/>
    </xf>
    <xf numFmtId="0" fontId="117" fillId="0" borderId="15" xfId="0" applyFont="1" applyFill="1" applyBorder="1" applyAlignment="1">
      <alignment horizontal="center" vertical="center" wrapText="1"/>
    </xf>
    <xf numFmtId="0" fontId="117" fillId="0" borderId="19" xfId="0" applyFont="1" applyFill="1" applyBorder="1" applyAlignment="1">
      <alignment horizontal="center" vertical="center" wrapText="1"/>
    </xf>
    <xf numFmtId="0" fontId="117" fillId="0" borderId="27" xfId="0" applyFont="1" applyFill="1" applyBorder="1" applyAlignment="1">
      <alignment horizontal="center" vertical="center" wrapText="1"/>
    </xf>
    <xf numFmtId="0" fontId="114" fillId="0" borderId="0" xfId="0" applyFont="1" applyAlignment="1">
      <alignment horizontal="right"/>
    </xf>
    <xf numFmtId="0" fontId="131" fillId="0" borderId="14" xfId="0" applyFont="1" applyBorder="1" applyAlignment="1">
      <alignment horizontal="left"/>
    </xf>
    <xf numFmtId="0" fontId="117" fillId="0" borderId="14" xfId="0" applyFont="1" applyBorder="1" applyAlignment="1">
      <alignment horizontal="center" vertical="center"/>
    </xf>
    <xf numFmtId="0" fontId="117" fillId="0" borderId="143" xfId="0" applyFont="1" applyBorder="1" applyAlignment="1">
      <alignment horizontal="center" vertical="center" wrapText="1"/>
    </xf>
    <xf numFmtId="0" fontId="117" fillId="0" borderId="138" xfId="0" applyFont="1" applyBorder="1" applyAlignment="1">
      <alignment horizontal="center" vertical="center" wrapText="1"/>
    </xf>
    <xf numFmtId="0" fontId="117" fillId="0" borderId="144" xfId="0" applyFont="1" applyBorder="1" applyAlignment="1">
      <alignment horizontal="center" vertical="center" wrapText="1"/>
    </xf>
    <xf numFmtId="0" fontId="117" fillId="0" borderId="139" xfId="0" applyFont="1" applyBorder="1" applyAlignment="1">
      <alignment horizontal="center" vertical="center" wrapText="1"/>
    </xf>
    <xf numFmtId="0" fontId="117" fillId="0" borderId="142" xfId="0" applyFont="1" applyBorder="1" applyAlignment="1">
      <alignment horizontal="center" vertical="center" wrapText="1"/>
    </xf>
    <xf numFmtId="0" fontId="117" fillId="0" borderId="140" xfId="0" applyFont="1" applyBorder="1" applyAlignment="1">
      <alignment horizontal="center" vertical="center" wrapText="1"/>
    </xf>
    <xf numFmtId="0" fontId="117" fillId="0" borderId="0" xfId="0" applyFont="1" applyAlignment="1">
      <alignment horizontal="left" wrapText="1"/>
    </xf>
    <xf numFmtId="0" fontId="117" fillId="0" borderId="135" xfId="0" applyFont="1" applyBorder="1" applyAlignment="1">
      <alignment horizontal="center" vertical="center" wrapText="1"/>
    </xf>
    <xf numFmtId="0" fontId="117" fillId="0" borderId="136" xfId="0" applyFont="1" applyBorder="1" applyAlignment="1">
      <alignment horizontal="center" vertical="center" wrapText="1"/>
    </xf>
    <xf numFmtId="0" fontId="117" fillId="0" borderId="137" xfId="0" applyFont="1" applyBorder="1" applyAlignment="1">
      <alignment horizontal="center" vertical="center" wrapText="1"/>
    </xf>
    <xf numFmtId="0" fontId="117" fillId="0" borderId="143" xfId="0" applyFont="1" applyFill="1" applyBorder="1" applyAlignment="1">
      <alignment horizontal="center" vertical="center" wrapText="1"/>
    </xf>
    <xf numFmtId="0" fontId="117" fillId="0" borderId="141" xfId="0" applyFont="1" applyFill="1" applyBorder="1" applyAlignment="1">
      <alignment horizontal="center" vertical="center" wrapText="1"/>
    </xf>
    <xf numFmtId="0" fontId="117" fillId="0" borderId="138" xfId="0" applyFont="1" applyFill="1" applyBorder="1" applyAlignment="1">
      <alignment horizontal="center" vertical="center" wrapText="1"/>
    </xf>
    <xf numFmtId="0" fontId="117" fillId="0" borderId="144" xfId="0" applyFont="1" applyFill="1" applyBorder="1" applyAlignment="1">
      <alignment horizontal="center" vertical="center" wrapText="1"/>
    </xf>
    <xf numFmtId="0" fontId="117" fillId="0" borderId="0" xfId="0" applyFont="1" applyFill="1" applyBorder="1" applyAlignment="1">
      <alignment horizontal="center" vertical="center" wrapText="1"/>
    </xf>
    <xf numFmtId="0" fontId="117" fillId="0" borderId="139" xfId="0" applyFont="1" applyFill="1" applyBorder="1" applyAlignment="1">
      <alignment horizontal="center" vertical="center" wrapText="1"/>
    </xf>
    <xf numFmtId="0" fontId="117" fillId="0" borderId="142" xfId="0" applyFont="1" applyFill="1" applyBorder="1" applyAlignment="1">
      <alignment horizontal="center" vertical="center" wrapText="1"/>
    </xf>
    <xf numFmtId="0" fontId="117" fillId="0" borderId="14" xfId="0" applyFont="1" applyFill="1" applyBorder="1" applyAlignment="1">
      <alignment horizontal="center" vertical="center" wrapText="1"/>
    </xf>
    <xf numFmtId="0" fontId="117" fillId="0" borderId="140" xfId="0" applyFont="1" applyFill="1" applyBorder="1" applyAlignment="1">
      <alignment horizontal="center" vertical="center" wrapText="1"/>
    </xf>
    <xf numFmtId="0" fontId="131" fillId="0" borderId="19" xfId="0" applyFont="1" applyBorder="1" applyAlignment="1">
      <alignment horizontal="left"/>
    </xf>
    <xf numFmtId="0" fontId="117" fillId="0" borderId="144" xfId="0" applyFont="1" applyBorder="1" applyAlignment="1">
      <alignment wrapText="1"/>
    </xf>
    <xf numFmtId="0" fontId="117" fillId="0" borderId="141" xfId="0" applyFont="1" applyBorder="1" applyAlignment="1">
      <alignment horizontal="center" vertical="center" wrapText="1"/>
    </xf>
    <xf numFmtId="0" fontId="117" fillId="0" borderId="14" xfId="0" applyFont="1" applyBorder="1" applyAlignment="1">
      <alignment horizontal="center" vertical="center" wrapText="1"/>
    </xf>
    <xf numFmtId="0" fontId="117" fillId="0" borderId="0" xfId="0" applyFont="1" applyBorder="1" applyAlignment="1">
      <alignment horizontal="center" vertical="center" wrapText="1"/>
    </xf>
    <xf numFmtId="0" fontId="122" fillId="0" borderId="133" xfId="0" applyFont="1" applyFill="1" applyBorder="1" applyAlignment="1">
      <alignment horizontal="center" vertical="center" wrapText="1"/>
    </xf>
    <xf numFmtId="0" fontId="122" fillId="0" borderId="11" xfId="0" applyFont="1" applyFill="1" applyBorder="1" applyAlignment="1">
      <alignment horizontal="center" vertical="center" wrapText="1"/>
    </xf>
    <xf numFmtId="0" fontId="123" fillId="0" borderId="0" xfId="56" applyFont="1" applyAlignment="1">
      <alignment horizontal="left" wrapText="1"/>
    </xf>
    <xf numFmtId="0" fontId="114" fillId="0" borderId="0" xfId="0" applyFont="1" applyAlignment="1">
      <alignment horizontal="left" vertical="center" wrapText="1"/>
    </xf>
    <xf numFmtId="0" fontId="122" fillId="0" borderId="4" xfId="0" applyFont="1" applyFill="1" applyBorder="1" applyAlignment="1">
      <alignment horizontal="center" vertical="center" wrapText="1"/>
    </xf>
    <xf numFmtId="0" fontId="122" fillId="0" borderId="10" xfId="0" applyFont="1" applyFill="1" applyBorder="1" applyAlignment="1">
      <alignment horizontal="center" vertical="center" wrapText="1"/>
    </xf>
    <xf numFmtId="0" fontId="122" fillId="0" borderId="20" xfId="0" applyFont="1" applyFill="1" applyBorder="1" applyAlignment="1">
      <alignment horizontal="center" vertical="center" wrapText="1"/>
    </xf>
    <xf numFmtId="0" fontId="123" fillId="0" borderId="47" xfId="56" applyFont="1" applyFill="1" applyBorder="1" applyAlignment="1">
      <alignment horizontal="left" wrapText="1"/>
    </xf>
    <xf numFmtId="0" fontId="123" fillId="0" borderId="0" xfId="56" applyFont="1" applyFill="1" applyBorder="1" applyAlignment="1">
      <alignment horizontal="left" wrapText="1"/>
    </xf>
    <xf numFmtId="0" fontId="128" fillId="0" borderId="0" xfId="0" applyFont="1" applyFill="1" applyBorder="1" applyAlignment="1">
      <alignment horizontal="left"/>
    </xf>
    <xf numFmtId="0" fontId="117" fillId="0" borderId="0" xfId="0" applyFont="1" applyBorder="1" applyAlignment="1">
      <alignment horizontal="center"/>
    </xf>
    <xf numFmtId="0" fontId="122" fillId="0" borderId="0" xfId="17" applyFont="1" applyFill="1" applyBorder="1" applyAlignment="1">
      <alignment horizontal="center"/>
    </xf>
    <xf numFmtId="0" fontId="122" fillId="9" borderId="4" xfId="17" applyFont="1" applyFill="1" applyBorder="1" applyAlignment="1">
      <alignment horizontal="center" vertical="center" wrapText="1"/>
    </xf>
    <xf numFmtId="0" fontId="122" fillId="0" borderId="0" xfId="17" applyFont="1" applyFill="1" applyBorder="1" applyAlignment="1">
      <alignment horizontal="center" vertical="center" wrapText="1"/>
    </xf>
    <xf numFmtId="0" fontId="122" fillId="0" borderId="19" xfId="17" applyFont="1" applyFill="1" applyBorder="1" applyAlignment="1">
      <alignment horizontal="center" vertical="center" wrapText="1"/>
    </xf>
    <xf numFmtId="0" fontId="114" fillId="0" borderId="10" xfId="0" applyFont="1" applyBorder="1" applyAlignment="1">
      <alignment horizontal="center" vertical="center" wrapText="1"/>
    </xf>
    <xf numFmtId="0" fontId="114" fillId="0" borderId="20" xfId="0" applyFont="1" applyBorder="1" applyAlignment="1">
      <alignment horizontal="center" vertical="center" wrapText="1"/>
    </xf>
    <xf numFmtId="0" fontId="114" fillId="0" borderId="4" xfId="0" applyFont="1" applyBorder="1" applyAlignment="1">
      <alignment horizontal="center" vertical="center" wrapText="1"/>
    </xf>
    <xf numFmtId="0" fontId="123" fillId="0" borderId="165" xfId="0" applyFont="1" applyBorder="1" applyAlignment="1">
      <alignment horizontal="center" vertical="center" wrapText="1"/>
    </xf>
    <xf numFmtId="0" fontId="123" fillId="0" borderId="47" xfId="0" applyFont="1" applyBorder="1" applyAlignment="1">
      <alignment horizontal="center" vertical="center" wrapText="1"/>
    </xf>
    <xf numFmtId="0" fontId="123" fillId="0" borderId="166" xfId="0" applyFont="1" applyBorder="1" applyAlignment="1">
      <alignment horizontal="center" vertical="center" wrapText="1"/>
    </xf>
    <xf numFmtId="0" fontId="123" fillId="0" borderId="24" xfId="0" applyFont="1" applyBorder="1" applyAlignment="1">
      <alignment horizontal="center" vertical="center" wrapText="1"/>
    </xf>
    <xf numFmtId="0" fontId="123" fillId="0" borderId="0" xfId="0" applyFont="1" applyBorder="1" applyAlignment="1">
      <alignment horizontal="center" vertical="center" wrapText="1"/>
    </xf>
    <xf numFmtId="0" fontId="123" fillId="0" borderId="25" xfId="0" applyFont="1" applyBorder="1" applyAlignment="1">
      <alignment horizontal="center" vertical="center" wrapText="1"/>
    </xf>
    <xf numFmtId="0" fontId="123" fillId="0" borderId="15" xfId="0" applyFont="1" applyBorder="1" applyAlignment="1">
      <alignment horizontal="center" vertical="center" wrapText="1"/>
    </xf>
    <xf numFmtId="0" fontId="123" fillId="0" borderId="19" xfId="0" applyFont="1" applyBorder="1" applyAlignment="1">
      <alignment horizontal="center" vertical="center" wrapText="1"/>
    </xf>
    <xf numFmtId="0" fontId="123" fillId="0" borderId="27" xfId="0" applyFont="1" applyBorder="1" applyAlignment="1">
      <alignment horizontal="center" vertical="center" wrapText="1"/>
    </xf>
    <xf numFmtId="0" fontId="117" fillId="13" borderId="10" xfId="0" applyFont="1" applyFill="1" applyBorder="1" applyAlignment="1"/>
    <xf numFmtId="0" fontId="117" fillId="13" borderId="134" xfId="0" applyFont="1" applyFill="1" applyBorder="1" applyAlignment="1"/>
    <xf numFmtId="0" fontId="117" fillId="0" borderId="3" xfId="0" applyFont="1" applyBorder="1" applyAlignment="1"/>
    <xf numFmtId="0" fontId="117" fillId="0" borderId="20" xfId="0" applyFont="1" applyBorder="1" applyAlignment="1"/>
    <xf numFmtId="0" fontId="117" fillId="0" borderId="0" xfId="0" applyFont="1" applyAlignment="1">
      <alignment horizontal="center"/>
    </xf>
    <xf numFmtId="0" fontId="117" fillId="13" borderId="10" xfId="0" applyFont="1" applyFill="1" applyBorder="1" applyAlignment="1">
      <alignment horizontal="left"/>
    </xf>
    <xf numFmtId="0" fontId="117" fillId="13" borderId="134" xfId="0" applyFont="1" applyFill="1" applyBorder="1" applyAlignment="1">
      <alignment horizontal="left"/>
    </xf>
    <xf numFmtId="0" fontId="117" fillId="0" borderId="3" xfId="0" applyFont="1" applyBorder="1" applyAlignment="1">
      <alignment horizontal="left"/>
    </xf>
    <xf numFmtId="0" fontId="117" fillId="0" borderId="20" xfId="0" applyFont="1" applyBorder="1" applyAlignment="1">
      <alignment horizontal="left"/>
    </xf>
    <xf numFmtId="0" fontId="122" fillId="5" borderId="0" xfId="17" applyFont="1" applyFill="1" applyBorder="1" applyAlignment="1">
      <alignment horizontal="right"/>
    </xf>
    <xf numFmtId="0" fontId="122" fillId="0" borderId="10" xfId="0" applyFont="1" applyBorder="1" applyAlignment="1">
      <alignment horizontal="justify" vertical="center" wrapText="1"/>
    </xf>
    <xf numFmtId="0" fontId="122" fillId="0" borderId="134" xfId="0" applyFont="1" applyBorder="1" applyAlignment="1">
      <alignment horizontal="justify" vertical="center" wrapText="1"/>
    </xf>
    <xf numFmtId="0" fontId="122" fillId="0" borderId="20" xfId="0" applyFont="1" applyBorder="1" applyAlignment="1">
      <alignment horizontal="justify" vertical="center" wrapText="1"/>
    </xf>
    <xf numFmtId="0" fontId="122" fillId="0" borderId="151" xfId="0" applyFont="1" applyBorder="1" applyAlignment="1">
      <alignment horizontal="justify" vertical="center" wrapText="1"/>
    </xf>
    <xf numFmtId="0" fontId="122" fillId="0" borderId="152" xfId="0" applyFont="1" applyBorder="1" applyAlignment="1">
      <alignment horizontal="justify" vertical="center" wrapText="1"/>
    </xf>
    <xf numFmtId="0" fontId="122" fillId="0" borderId="153" xfId="0" applyFont="1" applyBorder="1" applyAlignment="1">
      <alignment horizontal="justify" vertical="center" wrapText="1"/>
    </xf>
    <xf numFmtId="0" fontId="121" fillId="0" borderId="10" xfId="0" applyFont="1" applyBorder="1" applyAlignment="1">
      <alignment horizontal="justify" vertical="center" wrapText="1"/>
    </xf>
    <xf numFmtId="0" fontId="121" fillId="0" borderId="134" xfId="0" applyFont="1" applyBorder="1" applyAlignment="1">
      <alignment horizontal="justify" vertical="center" wrapText="1"/>
    </xf>
    <xf numFmtId="0" fontId="121" fillId="0" borderId="20" xfId="0" applyFont="1" applyBorder="1" applyAlignment="1">
      <alignment horizontal="justify" vertical="center" wrapText="1"/>
    </xf>
    <xf numFmtId="0" fontId="122" fillId="0" borderId="13" xfId="0" applyFont="1" applyBorder="1" applyAlignment="1">
      <alignment horizontal="justify" vertical="center" wrapText="1"/>
    </xf>
    <xf numFmtId="0" fontId="122" fillId="0" borderId="154" xfId="0" applyFont="1" applyBorder="1" applyAlignment="1">
      <alignment horizontal="justify" vertical="center" wrapText="1"/>
    </xf>
    <xf numFmtId="0" fontId="122" fillId="0" borderId="155" xfId="0" applyFont="1" applyBorder="1" applyAlignment="1">
      <alignment horizontal="justify" vertical="center" wrapText="1"/>
    </xf>
    <xf numFmtId="0" fontId="0" fillId="0" borderId="4" xfId="0" applyBorder="1" applyAlignment="1">
      <alignment horizontal="center" vertical="center" wrapText="1"/>
    </xf>
    <xf numFmtId="165" fontId="0" fillId="0" borderId="4" xfId="4210" applyFont="1" applyFill="1" applyBorder="1" applyAlignment="1">
      <alignment horizontal="center" vertical="center" wrapText="1"/>
    </xf>
    <xf numFmtId="213" fontId="0" fillId="0" borderId="4" xfId="0" applyNumberFormat="1" applyBorder="1" applyAlignment="1">
      <alignment horizontal="center" vertical="center" wrapText="1"/>
    </xf>
    <xf numFmtId="165" fontId="0" fillId="0" borderId="4" xfId="0" applyNumberFormat="1" applyBorder="1" applyAlignment="1">
      <alignment horizontal="center" vertical="center" wrapText="1"/>
    </xf>
    <xf numFmtId="2" fontId="0" fillId="0" borderId="4" xfId="0" applyNumberFormat="1" applyBorder="1" applyAlignment="1">
      <alignment horizontal="center" vertical="center" wrapText="1"/>
    </xf>
    <xf numFmtId="0" fontId="123" fillId="0" borderId="19" xfId="17" applyFont="1" applyFill="1" applyBorder="1" applyAlignment="1">
      <alignment horizontal="center"/>
    </xf>
    <xf numFmtId="0" fontId="122" fillId="5" borderId="0" xfId="17" applyFont="1" applyFill="1" applyBorder="1" applyAlignment="1">
      <alignment horizontal="center"/>
    </xf>
    <xf numFmtId="0" fontId="117" fillId="0" borderId="0" xfId="0" applyFont="1" applyAlignment="1"/>
    <xf numFmtId="0" fontId="121" fillId="5" borderId="0" xfId="17" applyFont="1" applyFill="1" applyBorder="1" applyAlignment="1">
      <alignment horizontal="left"/>
    </xf>
    <xf numFmtId="0" fontId="132" fillId="0" borderId="0" xfId="0" applyFont="1" applyBorder="1" applyAlignment="1">
      <alignment horizontal="left"/>
    </xf>
    <xf numFmtId="0" fontId="123" fillId="0" borderId="0" xfId="13" applyFont="1" applyBorder="1" applyAlignment="1">
      <alignment horizontal="justify" wrapText="1"/>
    </xf>
    <xf numFmtId="0" fontId="123" fillId="0" borderId="0" xfId="13" applyFont="1" applyAlignment="1">
      <alignment wrapText="1"/>
    </xf>
    <xf numFmtId="0" fontId="123" fillId="0" borderId="0" xfId="13" quotePrefix="1" applyFont="1" applyBorder="1" applyAlignment="1">
      <alignment horizontal="justify"/>
    </xf>
    <xf numFmtId="0" fontId="123" fillId="0" borderId="0" xfId="13" applyFont="1" applyAlignment="1">
      <alignment horizontal="justify"/>
    </xf>
    <xf numFmtId="0" fontId="122" fillId="0" borderId="0" xfId="13" applyFont="1" applyBorder="1" applyAlignment="1">
      <alignment horizontal="left" vertical="center"/>
    </xf>
    <xf numFmtId="0" fontId="123" fillId="0" borderId="165" xfId="13" applyFont="1" applyFill="1" applyBorder="1" applyAlignment="1">
      <alignment horizontal="center" vertical="center" wrapText="1"/>
    </xf>
    <xf numFmtId="0" fontId="123" fillId="0" borderId="47" xfId="13" applyFont="1" applyFill="1" applyBorder="1" applyAlignment="1">
      <alignment horizontal="center" vertical="center" wrapText="1"/>
    </xf>
    <xf numFmtId="0" fontId="123" fillId="0" borderId="166" xfId="13" applyFont="1" applyFill="1" applyBorder="1" applyAlignment="1">
      <alignment horizontal="center" vertical="center" wrapText="1"/>
    </xf>
    <xf numFmtId="0" fontId="123" fillId="0" borderId="24" xfId="13" applyFont="1" applyFill="1" applyBorder="1" applyAlignment="1">
      <alignment horizontal="center" vertical="center" wrapText="1"/>
    </xf>
    <xf numFmtId="0" fontId="123" fillId="0" borderId="0" xfId="13" applyFont="1" applyFill="1" applyBorder="1" applyAlignment="1">
      <alignment horizontal="center" vertical="center" wrapText="1"/>
    </xf>
    <xf numFmtId="0" fontId="123" fillId="0" borderId="25" xfId="13" applyFont="1" applyFill="1" applyBorder="1" applyAlignment="1">
      <alignment horizontal="center" vertical="center" wrapText="1"/>
    </xf>
    <xf numFmtId="0" fontId="123" fillId="0" borderId="15" xfId="13" applyFont="1" applyFill="1" applyBorder="1" applyAlignment="1">
      <alignment horizontal="center" vertical="center" wrapText="1"/>
    </xf>
    <xf numFmtId="0" fontId="123" fillId="0" borderId="19" xfId="13" applyFont="1" applyFill="1" applyBorder="1" applyAlignment="1">
      <alignment horizontal="center" vertical="center" wrapText="1"/>
    </xf>
    <xf numFmtId="0" fontId="123" fillId="0" borderId="27" xfId="13" applyFont="1" applyFill="1" applyBorder="1" applyAlignment="1">
      <alignment horizontal="center" vertical="center" wrapText="1"/>
    </xf>
    <xf numFmtId="0" fontId="119" fillId="0" borderId="133" xfId="564" applyFont="1" applyFill="1" applyBorder="1" applyAlignment="1">
      <alignment horizontal="center" vertical="center" wrapText="1"/>
    </xf>
    <xf numFmtId="0" fontId="119" fillId="0" borderId="11" xfId="564" applyFont="1" applyFill="1" applyBorder="1" applyAlignment="1">
      <alignment horizontal="center" vertical="center" wrapText="1"/>
    </xf>
    <xf numFmtId="0" fontId="124" fillId="0" borderId="0" xfId="0" applyFont="1" applyFill="1" applyBorder="1" applyAlignment="1">
      <alignment horizontal="left" vertical="center"/>
    </xf>
    <xf numFmtId="0" fontId="120" fillId="0" borderId="19" xfId="564" applyFont="1" applyFill="1" applyBorder="1" applyAlignment="1">
      <alignment horizontal="center"/>
    </xf>
    <xf numFmtId="0" fontId="119" fillId="0" borderId="147" xfId="564" applyFont="1" applyFill="1" applyBorder="1" applyAlignment="1">
      <alignment horizontal="center" vertical="center" wrapText="1"/>
    </xf>
    <xf numFmtId="0" fontId="119" fillId="0" borderId="148" xfId="564" applyFont="1" applyFill="1" applyBorder="1" applyAlignment="1">
      <alignment horizontal="center" vertical="center" wrapText="1"/>
    </xf>
    <xf numFmtId="0" fontId="119" fillId="0" borderId="15" xfId="564" applyFont="1" applyFill="1" applyBorder="1" applyAlignment="1">
      <alignment horizontal="center" vertical="center" wrapText="1"/>
    </xf>
    <xf numFmtId="0" fontId="119" fillId="0" borderId="27" xfId="564" applyFont="1" applyFill="1" applyBorder="1" applyAlignment="1">
      <alignment horizontal="center" vertical="center" wrapText="1"/>
    </xf>
    <xf numFmtId="0" fontId="124" fillId="0" borderId="0" xfId="17" applyFont="1" applyFill="1" applyBorder="1" applyAlignment="1">
      <alignment horizontal="center" vertical="center"/>
    </xf>
    <xf numFmtId="0" fontId="119" fillId="5" borderId="0" xfId="17" applyFont="1" applyFill="1" applyBorder="1" applyAlignment="1">
      <alignment horizontal="center"/>
    </xf>
    <xf numFmtId="0" fontId="114" fillId="0" borderId="19" xfId="0" applyFont="1" applyBorder="1" applyAlignment="1">
      <alignment horizontal="left"/>
    </xf>
    <xf numFmtId="0" fontId="114" fillId="0" borderId="133" xfId="0" applyFont="1" applyBorder="1" applyAlignment="1">
      <alignment horizontal="center" vertical="center"/>
    </xf>
    <xf numFmtId="0" fontId="114" fillId="0" borderId="11" xfId="0" applyFont="1" applyBorder="1" applyAlignment="1">
      <alignment horizontal="center" vertical="center"/>
    </xf>
    <xf numFmtId="0" fontId="117" fillId="0" borderId="134" xfId="0" applyFont="1" applyBorder="1" applyAlignment="1"/>
    <xf numFmtId="0" fontId="117" fillId="13" borderId="10" xfId="0" applyFont="1" applyFill="1" applyBorder="1" applyAlignment="1">
      <alignment wrapText="1"/>
    </xf>
    <xf numFmtId="0" fontId="117" fillId="0" borderId="134" xfId="0" applyFont="1" applyBorder="1" applyAlignment="1">
      <alignment wrapText="1"/>
    </xf>
    <xf numFmtId="0" fontId="121" fillId="9" borderId="19" xfId="17" applyFont="1" applyFill="1" applyBorder="1" applyAlignment="1">
      <alignment horizontal="left" vertical="center"/>
    </xf>
    <xf numFmtId="0" fontId="119" fillId="5" borderId="0" xfId="17" applyFont="1" applyFill="1" applyBorder="1" applyAlignment="1">
      <alignment horizontal="center" vertical="center"/>
    </xf>
    <xf numFmtId="0" fontId="128" fillId="9" borderId="0" xfId="17" applyFont="1" applyFill="1" applyBorder="1" applyAlignment="1">
      <alignment vertical="center"/>
    </xf>
    <xf numFmtId="0" fontId="129" fillId="9" borderId="0" xfId="0" applyFont="1" applyFill="1" applyBorder="1" applyAlignment="1">
      <alignment vertical="center"/>
    </xf>
    <xf numFmtId="0" fontId="123" fillId="9" borderId="4" xfId="564" applyFont="1" applyFill="1" applyBorder="1" applyAlignment="1">
      <alignment horizontal="center" vertical="center" wrapText="1"/>
    </xf>
    <xf numFmtId="0" fontId="123" fillId="9" borderId="4" xfId="564" applyFont="1" applyFill="1" applyBorder="1" applyAlignment="1">
      <alignment horizontal="center" vertical="center"/>
    </xf>
    <xf numFmtId="0" fontId="122" fillId="9" borderId="4" xfId="17" applyFont="1" applyFill="1" applyBorder="1" applyAlignment="1">
      <alignment horizontal="center" vertical="center"/>
    </xf>
    <xf numFmtId="0" fontId="114" fillId="9" borderId="133" xfId="0" applyFont="1" applyFill="1" applyBorder="1" applyAlignment="1">
      <alignment horizontal="center" vertical="center" wrapText="1"/>
    </xf>
    <xf numFmtId="0" fontId="114" fillId="9" borderId="11" xfId="0" applyFont="1" applyFill="1" applyBorder="1" applyAlignment="1">
      <alignment horizontal="center" vertical="center" wrapText="1"/>
    </xf>
    <xf numFmtId="0" fontId="126" fillId="0" borderId="0" xfId="0" applyFont="1" applyAlignment="1">
      <alignment horizontal="center"/>
    </xf>
    <xf numFmtId="0" fontId="124" fillId="0" borderId="0" xfId="17" applyFont="1" applyFill="1" applyBorder="1" applyAlignment="1">
      <alignment vertical="center"/>
    </xf>
    <xf numFmtId="0" fontId="125" fillId="0" borderId="0" xfId="0" applyFont="1" applyBorder="1" applyAlignment="1">
      <alignment vertical="center"/>
    </xf>
    <xf numFmtId="0" fontId="125" fillId="0" borderId="133" xfId="0" applyFont="1" applyBorder="1" applyAlignment="1">
      <alignment horizontal="center" vertical="center"/>
    </xf>
    <xf numFmtId="0" fontId="125" fillId="0" borderId="11" xfId="0" applyFont="1" applyBorder="1" applyAlignment="1">
      <alignment horizontal="center" vertical="center"/>
    </xf>
    <xf numFmtId="0" fontId="119" fillId="0" borderId="4" xfId="564" applyFont="1" applyFill="1" applyBorder="1" applyAlignment="1">
      <alignment horizontal="center" vertical="center"/>
    </xf>
    <xf numFmtId="0" fontId="119" fillId="0" borderId="0" xfId="17" applyFont="1" applyFill="1" applyBorder="1" applyAlignment="1">
      <alignment horizontal="left" vertical="center" wrapText="1"/>
    </xf>
    <xf numFmtId="0" fontId="119" fillId="0" borderId="19" xfId="17" applyFont="1" applyFill="1" applyBorder="1" applyAlignment="1">
      <alignment horizontal="left" vertical="center" wrapText="1"/>
    </xf>
    <xf numFmtId="0" fontId="120" fillId="0" borderId="0" xfId="564" applyFont="1" applyFill="1" applyBorder="1" applyAlignment="1">
      <alignment horizontal="center" vertical="center"/>
    </xf>
    <xf numFmtId="0" fontId="119" fillId="0" borderId="0" xfId="17" applyFont="1" applyFill="1" applyBorder="1" applyAlignment="1">
      <alignment horizontal="center" vertical="center"/>
    </xf>
    <xf numFmtId="0" fontId="119" fillId="0" borderId="4" xfId="564" applyFont="1" applyFill="1" applyBorder="1" applyAlignment="1">
      <alignment horizontal="center" vertical="center" wrapText="1"/>
    </xf>
    <xf numFmtId="0" fontId="126" fillId="0" borderId="133" xfId="0" applyFont="1" applyBorder="1" applyAlignment="1">
      <alignment horizontal="center" vertical="center"/>
    </xf>
    <xf numFmtId="0" fontId="115" fillId="0" borderId="4" xfId="0" applyFont="1" applyBorder="1" applyAlignment="1">
      <alignment horizontal="center" vertical="center" wrapText="1"/>
    </xf>
    <xf numFmtId="0" fontId="143" fillId="0" borderId="0" xfId="0" applyFont="1" applyBorder="1" applyAlignment="1">
      <alignment horizontal="left"/>
    </xf>
    <xf numFmtId="0" fontId="9" fillId="0" borderId="0" xfId="564" applyFont="1" applyFill="1" applyBorder="1" applyAlignment="1">
      <alignment horizontal="center"/>
    </xf>
    <xf numFmtId="0" fontId="115" fillId="0" borderId="4" xfId="0" applyFont="1" applyBorder="1" applyAlignment="1">
      <alignment horizontal="center" vertical="center"/>
    </xf>
    <xf numFmtId="0" fontId="121" fillId="0" borderId="0" xfId="17" applyFont="1" applyFill="1" applyBorder="1" applyAlignment="1">
      <alignment horizontal="left"/>
    </xf>
    <xf numFmtId="0" fontId="122" fillId="0" borderId="15" xfId="0" applyFont="1" applyFill="1" applyBorder="1" applyAlignment="1"/>
    <xf numFmtId="0" fontId="117" fillId="0" borderId="19" xfId="0" applyFont="1" applyBorder="1" applyAlignment="1"/>
    <xf numFmtId="0" fontId="117" fillId="0" borderId="27" xfId="0" applyFont="1" applyBorder="1" applyAlignment="1"/>
    <xf numFmtId="0" fontId="128" fillId="0" borderId="0" xfId="17" applyFont="1" applyFill="1" applyBorder="1" applyAlignment="1"/>
    <xf numFmtId="0" fontId="129" fillId="0" borderId="0" xfId="0" applyFont="1" applyBorder="1" applyAlignment="1"/>
    <xf numFmtId="0" fontId="114" fillId="0" borderId="0" xfId="0" applyFont="1" applyAlignment="1">
      <alignment horizontal="center"/>
    </xf>
    <xf numFmtId="0" fontId="122" fillId="5" borderId="0" xfId="17" applyFont="1" applyFill="1" applyBorder="1" applyAlignment="1">
      <alignment horizontal="left"/>
    </xf>
    <xf numFmtId="0" fontId="122" fillId="0" borderId="147" xfId="0" applyFont="1" applyFill="1" applyBorder="1" applyAlignment="1">
      <alignment horizontal="center" vertical="top"/>
    </xf>
    <xf numFmtId="0" fontId="122" fillId="0" borderId="47" xfId="0" applyFont="1" applyFill="1" applyBorder="1" applyAlignment="1">
      <alignment horizontal="center" vertical="top"/>
    </xf>
    <xf numFmtId="0" fontId="122" fillId="0" borderId="148" xfId="0" applyFont="1" applyFill="1" applyBorder="1" applyAlignment="1">
      <alignment horizontal="center" vertical="top"/>
    </xf>
    <xf numFmtId="0" fontId="122" fillId="0" borderId="15" xfId="0" applyFont="1" applyFill="1" applyBorder="1" applyAlignment="1">
      <alignment horizontal="center" vertical="top"/>
    </xf>
    <xf numFmtId="0" fontId="122" fillId="0" borderId="19" xfId="0" applyFont="1" applyFill="1" applyBorder="1" applyAlignment="1">
      <alignment horizontal="center" vertical="top"/>
    </xf>
    <xf numFmtId="0" fontId="122" fillId="0" borderId="27" xfId="0" applyFont="1" applyFill="1" applyBorder="1" applyAlignment="1">
      <alignment horizontal="center" vertical="top"/>
    </xf>
    <xf numFmtId="0" fontId="117" fillId="0" borderId="19" xfId="0" applyFont="1" applyBorder="1" applyAlignment="1">
      <alignment horizontal="center"/>
    </xf>
    <xf numFmtId="0" fontId="117" fillId="0" borderId="47" xfId="0" applyFont="1" applyBorder="1" applyAlignment="1">
      <alignment horizontal="left" vertical="center"/>
    </xf>
    <xf numFmtId="0" fontId="122" fillId="0" borderId="19" xfId="17" applyFont="1" applyFill="1" applyBorder="1" applyAlignment="1">
      <alignment horizontal="justify" vertical="center"/>
    </xf>
    <xf numFmtId="0" fontId="123" fillId="0" borderId="19" xfId="0" applyFont="1" applyFill="1" applyBorder="1" applyAlignment="1">
      <alignment horizontal="justify" vertical="center"/>
    </xf>
    <xf numFmtId="0" fontId="128" fillId="0" borderId="0" xfId="17" applyFont="1" applyFill="1" applyBorder="1" applyAlignment="1">
      <alignment horizontal="justify" wrapText="1"/>
    </xf>
    <xf numFmtId="0" fontId="129" fillId="0" borderId="0" xfId="0" applyFont="1" applyFill="1" applyBorder="1" applyAlignment="1">
      <alignment horizontal="justify" wrapText="1"/>
    </xf>
    <xf numFmtId="0" fontId="122" fillId="0" borderId="10" xfId="17" applyFont="1" applyFill="1" applyBorder="1" applyAlignment="1">
      <alignment horizontal="center" vertical="center"/>
    </xf>
    <xf numFmtId="0" fontId="122" fillId="0" borderId="20" xfId="17" applyFont="1" applyFill="1" applyBorder="1" applyAlignment="1">
      <alignment horizontal="center" vertical="center"/>
    </xf>
    <xf numFmtId="0" fontId="122" fillId="0" borderId="4" xfId="564" applyFont="1" applyFill="1" applyBorder="1" applyAlignment="1">
      <alignment horizontal="center" vertical="center" wrapText="1"/>
    </xf>
    <xf numFmtId="0" fontId="122" fillId="0" borderId="133" xfId="564" applyFont="1" applyFill="1" applyBorder="1" applyAlignment="1">
      <alignment horizontal="center" vertical="center" wrapText="1"/>
    </xf>
    <xf numFmtId="0" fontId="122" fillId="0" borderId="11" xfId="564" applyFont="1" applyFill="1" applyBorder="1" applyAlignment="1">
      <alignment horizontal="center" vertical="center" wrapText="1"/>
    </xf>
    <xf numFmtId="0" fontId="117" fillId="0" borderId="134" xfId="0" applyFont="1" applyFill="1" applyBorder="1" applyAlignment="1">
      <alignment horizontal="center" vertical="center"/>
    </xf>
    <xf numFmtId="0" fontId="117" fillId="0" borderId="20" xfId="0" applyFont="1" applyFill="1" applyBorder="1" applyAlignment="1">
      <alignment horizontal="center" vertical="center"/>
    </xf>
    <xf numFmtId="49" fontId="122" fillId="0" borderId="10" xfId="564" applyNumberFormat="1" applyFont="1" applyFill="1" applyBorder="1" applyAlignment="1">
      <alignment horizontal="center" vertical="center"/>
    </xf>
    <xf numFmtId="49" fontId="122" fillId="0" borderId="20" xfId="564" applyNumberFormat="1" applyFont="1" applyFill="1" applyBorder="1" applyAlignment="1">
      <alignment horizontal="center" vertical="center"/>
    </xf>
    <xf numFmtId="0" fontId="10" fillId="0" borderId="4" xfId="0" applyFont="1" applyBorder="1" applyAlignment="1">
      <alignment horizontal="center"/>
    </xf>
    <xf numFmtId="0" fontId="114" fillId="0" borderId="0" xfId="0" applyFont="1" applyFill="1" applyAlignment="1">
      <alignment horizontal="center"/>
    </xf>
    <xf numFmtId="0" fontId="114" fillId="0" borderId="19" xfId="0" applyFont="1" applyFill="1" applyBorder="1" applyAlignment="1">
      <alignment horizontal="left"/>
    </xf>
    <xf numFmtId="0" fontId="117" fillId="0" borderId="19" xfId="0" applyFont="1" applyFill="1" applyBorder="1" applyAlignment="1">
      <alignment wrapText="1"/>
    </xf>
    <xf numFmtId="0" fontId="117" fillId="0" borderId="27" xfId="0" applyFont="1" applyFill="1" applyBorder="1" applyAlignment="1">
      <alignment wrapText="1"/>
    </xf>
    <xf numFmtId="0" fontId="117" fillId="0" borderId="165" xfId="0" applyFont="1" applyFill="1" applyBorder="1" applyAlignment="1">
      <alignment horizontal="center" vertical="center"/>
    </xf>
    <xf numFmtId="0" fontId="117" fillId="0" borderId="47" xfId="0" applyFont="1" applyFill="1" applyBorder="1" applyAlignment="1">
      <alignment horizontal="center" vertical="center"/>
    </xf>
    <xf numFmtId="0" fontId="117" fillId="0" borderId="166" xfId="0" applyFont="1" applyFill="1" applyBorder="1" applyAlignment="1">
      <alignment horizontal="center" vertical="center"/>
    </xf>
    <xf numFmtId="0" fontId="117" fillId="0" borderId="24" xfId="0" applyFont="1" applyFill="1" applyBorder="1" applyAlignment="1">
      <alignment horizontal="center" vertical="center"/>
    </xf>
    <xf numFmtId="0" fontId="117" fillId="0" borderId="0" xfId="0" applyFont="1" applyFill="1" applyBorder="1" applyAlignment="1">
      <alignment horizontal="center" vertical="center"/>
    </xf>
    <xf numFmtId="0" fontId="117" fillId="0" borderId="25" xfId="0" applyFont="1" applyFill="1" applyBorder="1" applyAlignment="1">
      <alignment horizontal="center" vertical="center"/>
    </xf>
    <xf numFmtId="0" fontId="117" fillId="0" borderId="15" xfId="0" applyFont="1" applyFill="1" applyBorder="1" applyAlignment="1">
      <alignment horizontal="center" vertical="center"/>
    </xf>
    <xf numFmtId="0" fontId="117" fillId="0" borderId="19" xfId="0" applyFont="1" applyFill="1" applyBorder="1" applyAlignment="1">
      <alignment horizontal="center" vertical="center"/>
    </xf>
    <xf numFmtId="0" fontId="117" fillId="0" borderId="27" xfId="0" applyFont="1" applyFill="1" applyBorder="1" applyAlignment="1">
      <alignment horizontal="center" vertical="center"/>
    </xf>
    <xf numFmtId="0" fontId="117" fillId="0" borderId="10" xfId="0" applyFont="1" applyFill="1" applyBorder="1" applyAlignment="1">
      <alignment horizontal="center"/>
    </xf>
    <xf numFmtId="0" fontId="117" fillId="0" borderId="134" xfId="0" applyFont="1" applyFill="1" applyBorder="1" applyAlignment="1">
      <alignment horizontal="center"/>
    </xf>
    <xf numFmtId="0" fontId="117" fillId="0" borderId="20" xfId="0" applyFont="1" applyFill="1" applyBorder="1" applyAlignment="1">
      <alignment horizontal="center"/>
    </xf>
    <xf numFmtId="0" fontId="122" fillId="0" borderId="165" xfId="0" applyFont="1" applyFill="1" applyBorder="1" applyAlignment="1">
      <alignment horizontal="center" wrapText="1"/>
    </xf>
    <xf numFmtId="0" fontId="122" fillId="0" borderId="47" xfId="0" applyFont="1" applyFill="1" applyBorder="1" applyAlignment="1">
      <alignment horizontal="center" wrapText="1"/>
    </xf>
    <xf numFmtId="0" fontId="122" fillId="0" borderId="166" xfId="0" applyFont="1" applyFill="1" applyBorder="1" applyAlignment="1">
      <alignment horizontal="center" wrapText="1"/>
    </xf>
    <xf numFmtId="0" fontId="122" fillId="0" borderId="24" xfId="0" applyFont="1" applyFill="1" applyBorder="1" applyAlignment="1">
      <alignment horizontal="center" wrapText="1"/>
    </xf>
    <xf numFmtId="0" fontId="122" fillId="0" borderId="0" xfId="0" applyFont="1" applyFill="1" applyBorder="1" applyAlignment="1">
      <alignment horizontal="center" wrapText="1"/>
    </xf>
    <xf numFmtId="0" fontId="122" fillId="0" borderId="25" xfId="0" applyFont="1" applyFill="1" applyBorder="1" applyAlignment="1">
      <alignment horizontal="center" wrapText="1"/>
    </xf>
    <xf numFmtId="0" fontId="122" fillId="0" borderId="15" xfId="0" applyFont="1" applyFill="1" applyBorder="1" applyAlignment="1">
      <alignment horizontal="center" wrapText="1"/>
    </xf>
    <xf numFmtId="0" fontId="122" fillId="0" borderId="19" xfId="0" applyFont="1" applyFill="1" applyBorder="1" applyAlignment="1">
      <alignment horizontal="center" wrapText="1"/>
    </xf>
    <xf numFmtId="0" fontId="122" fillId="0" borderId="27" xfId="0" applyFont="1" applyFill="1" applyBorder="1" applyAlignment="1">
      <alignment horizontal="center" wrapText="1"/>
    </xf>
    <xf numFmtId="2" fontId="122" fillId="0" borderId="0" xfId="564" applyNumberFormat="1" applyFont="1" applyFill="1" applyBorder="1" applyAlignment="1">
      <alignment horizontal="center"/>
    </xf>
    <xf numFmtId="2" fontId="123" fillId="0" borderId="0" xfId="0" applyNumberFormat="1" applyFont="1" applyFill="1" applyAlignment="1"/>
    <xf numFmtId="2" fontId="123" fillId="8" borderId="10" xfId="0" applyNumberFormat="1" applyFont="1" applyFill="1" applyBorder="1" applyAlignment="1"/>
    <xf numFmtId="2" fontId="123" fillId="8" borderId="134" xfId="0" applyNumberFormat="1" applyFont="1" applyFill="1" applyBorder="1" applyAlignment="1"/>
    <xf numFmtId="2" fontId="123" fillId="8" borderId="20" xfId="0" applyNumberFormat="1" applyFont="1" applyFill="1" applyBorder="1" applyAlignment="1"/>
    <xf numFmtId="2" fontId="123" fillId="8" borderId="15" xfId="0" applyNumberFormat="1" applyFont="1" applyFill="1" applyBorder="1" applyAlignment="1">
      <alignment wrapText="1"/>
    </xf>
    <xf numFmtId="2" fontId="123" fillId="8" borderId="19" xfId="0" applyNumberFormat="1" applyFont="1" applyFill="1" applyBorder="1" applyAlignment="1">
      <alignment wrapText="1"/>
    </xf>
    <xf numFmtId="2" fontId="123" fillId="8" borderId="27" xfId="0" applyNumberFormat="1" applyFont="1" applyFill="1" applyBorder="1" applyAlignment="1">
      <alignment wrapText="1"/>
    </xf>
    <xf numFmtId="0" fontId="122" fillId="0" borderId="145" xfId="0" applyFont="1" applyFill="1" applyBorder="1" applyAlignment="1">
      <alignment horizontal="left" wrapText="1"/>
    </xf>
    <xf numFmtId="0" fontId="122" fillId="0" borderId="0" xfId="0" applyFont="1" applyFill="1" applyBorder="1" applyAlignment="1">
      <alignment horizontal="left" wrapText="1"/>
    </xf>
    <xf numFmtId="0" fontId="121" fillId="0" borderId="0" xfId="0" applyFont="1" applyFill="1" applyBorder="1" applyAlignment="1">
      <alignment horizontal="left"/>
    </xf>
    <xf numFmtId="2" fontId="122" fillId="0" borderId="0" xfId="17" applyNumberFormat="1" applyFont="1" applyFill="1" applyBorder="1" applyAlignment="1">
      <alignment horizontal="center"/>
    </xf>
    <xf numFmtId="2" fontId="123" fillId="0" borderId="19" xfId="17" applyNumberFormat="1" applyFont="1" applyFill="1" applyBorder="1" applyAlignment="1">
      <alignment horizontal="center"/>
    </xf>
    <xf numFmtId="2" fontId="122" fillId="0" borderId="10" xfId="0" applyNumberFormat="1" applyFont="1" applyFill="1" applyBorder="1" applyAlignment="1">
      <alignment horizontal="center" vertical="center" wrapText="1"/>
    </xf>
    <xf numFmtId="2" fontId="122" fillId="0" borderId="134" xfId="0" applyNumberFormat="1" applyFont="1" applyFill="1" applyBorder="1" applyAlignment="1">
      <alignment horizontal="center" vertical="center" wrapText="1"/>
    </xf>
    <xf numFmtId="2" fontId="122" fillId="0" borderId="20" xfId="0" applyNumberFormat="1" applyFont="1" applyFill="1" applyBorder="1" applyAlignment="1">
      <alignment horizontal="center" vertical="center" wrapText="1"/>
    </xf>
    <xf numFmtId="2" fontId="122" fillId="0" borderId="4" xfId="0" applyNumberFormat="1" applyFont="1" applyFill="1" applyBorder="1" applyAlignment="1">
      <alignment horizontal="center" vertical="center" wrapText="1"/>
    </xf>
    <xf numFmtId="0" fontId="10" fillId="0" borderId="4" xfId="0" applyFont="1" applyFill="1" applyBorder="1" applyAlignment="1">
      <alignment horizontal="center" wrapText="1"/>
    </xf>
    <xf numFmtId="0" fontId="10" fillId="0" borderId="4" xfId="0" applyFont="1" applyFill="1" applyBorder="1" applyAlignment="1">
      <alignment horizontal="center"/>
    </xf>
    <xf numFmtId="0" fontId="10" fillId="0" borderId="4" xfId="0" applyFont="1" applyFill="1" applyBorder="1" applyAlignment="1">
      <alignment vertical="center" wrapText="1"/>
    </xf>
    <xf numFmtId="0" fontId="128" fillId="0" borderId="0" xfId="0" applyFont="1" applyFill="1" applyBorder="1" applyAlignment="1">
      <alignment vertical="top"/>
    </xf>
    <xf numFmtId="0" fontId="138" fillId="0" borderId="0" xfId="0" applyFont="1" applyBorder="1" applyAlignment="1">
      <alignment vertical="top"/>
    </xf>
    <xf numFmtId="0" fontId="122" fillId="0" borderId="133" xfId="17" applyFont="1" applyFill="1" applyBorder="1" applyAlignment="1">
      <alignment horizontal="center" vertical="top"/>
    </xf>
    <xf numFmtId="0" fontId="122" fillId="0" borderId="11" xfId="17" applyFont="1" applyFill="1" applyBorder="1" applyAlignment="1">
      <alignment horizontal="center" vertical="top"/>
    </xf>
    <xf numFmtId="0" fontId="126" fillId="0" borderId="0" xfId="0" applyFont="1" applyAlignment="1">
      <alignment horizontal="center" vertical="top"/>
    </xf>
    <xf numFmtId="0" fontId="119" fillId="0" borderId="10" xfId="17" applyFont="1" applyFill="1" applyBorder="1" applyAlignment="1">
      <alignment horizontal="center" vertical="top" wrapText="1"/>
    </xf>
    <xf numFmtId="0" fontId="119" fillId="0" borderId="20" xfId="17" applyFont="1" applyFill="1" applyBorder="1" applyAlignment="1">
      <alignment horizontal="center" vertical="top" wrapText="1"/>
    </xf>
    <xf numFmtId="0" fontId="126" fillId="0" borderId="10" xfId="0" applyFont="1" applyFill="1" applyBorder="1" applyAlignment="1">
      <alignment horizontal="center" vertical="top" wrapText="1"/>
    </xf>
    <xf numFmtId="0" fontId="126" fillId="0" borderId="134" xfId="0" applyFont="1" applyFill="1" applyBorder="1" applyAlignment="1">
      <alignment horizontal="center" vertical="top" wrapText="1"/>
    </xf>
    <xf numFmtId="0" fontId="126" fillId="0" borderId="20" xfId="0" applyFont="1" applyFill="1" applyBorder="1" applyAlignment="1">
      <alignment horizontal="center" vertical="top" wrapText="1"/>
    </xf>
    <xf numFmtId="0" fontId="117" fillId="0" borderId="4" xfId="0" applyFont="1" applyBorder="1" applyAlignment="1">
      <alignment horizontal="center" vertical="top"/>
    </xf>
    <xf numFmtId="0" fontId="119" fillId="0" borderId="4" xfId="564" applyFont="1" applyFill="1" applyBorder="1" applyAlignment="1">
      <alignment horizontal="center" vertical="top"/>
    </xf>
    <xf numFmtId="0" fontId="114" fillId="9" borderId="4" xfId="0" applyFont="1" applyFill="1" applyBorder="1" applyAlignment="1">
      <alignment horizontal="center" vertical="top" wrapText="1"/>
    </xf>
    <xf numFmtId="0" fontId="114" fillId="9" borderId="10" xfId="0" applyFont="1" applyFill="1" applyBorder="1" applyAlignment="1">
      <alignment horizontal="center" vertical="top" wrapText="1"/>
    </xf>
    <xf numFmtId="0" fontId="114" fillId="9" borderId="134" xfId="0" applyFont="1" applyFill="1" applyBorder="1" applyAlignment="1">
      <alignment horizontal="center" vertical="top" wrapText="1"/>
    </xf>
    <xf numFmtId="0" fontId="114" fillId="9" borderId="20" xfId="0" applyFont="1" applyFill="1" applyBorder="1" applyAlignment="1">
      <alignment horizontal="center" vertical="top" wrapText="1"/>
    </xf>
    <xf numFmtId="0" fontId="119" fillId="0" borderId="4" xfId="17" applyFont="1" applyFill="1" applyBorder="1" applyAlignment="1">
      <alignment horizontal="center" vertical="top" wrapText="1"/>
    </xf>
    <xf numFmtId="0" fontId="123" fillId="0" borderId="0" xfId="17" applyFont="1" applyFill="1" applyBorder="1" applyAlignment="1">
      <alignment horizontal="center" vertical="top"/>
    </xf>
    <xf numFmtId="49" fontId="122" fillId="0" borderId="10" xfId="0" applyNumberFormat="1" applyFont="1" applyFill="1" applyBorder="1" applyAlignment="1">
      <alignment horizontal="center" vertical="top" wrapText="1"/>
    </xf>
    <xf numFmtId="49" fontId="122" fillId="0" borderId="134" xfId="0" applyNumberFormat="1" applyFont="1" applyFill="1" applyBorder="1" applyAlignment="1">
      <alignment horizontal="center" vertical="top" wrapText="1"/>
    </xf>
    <xf numFmtId="49" fontId="122" fillId="0" borderId="20" xfId="0" applyNumberFormat="1" applyFont="1" applyFill="1" applyBorder="1" applyAlignment="1">
      <alignment horizontal="center" vertical="top" wrapText="1"/>
    </xf>
    <xf numFmtId="0" fontId="123" fillId="0" borderId="19" xfId="17" applyFont="1" applyFill="1" applyBorder="1" applyAlignment="1">
      <alignment horizontal="center" vertical="top"/>
    </xf>
    <xf numFmtId="0" fontId="114" fillId="0" borderId="4" xfId="0" applyFont="1" applyBorder="1" applyAlignment="1">
      <alignment horizontal="center" vertical="top" wrapText="1"/>
    </xf>
    <xf numFmtId="0" fontId="122" fillId="9" borderId="133" xfId="17" applyFont="1" applyFill="1" applyBorder="1" applyAlignment="1">
      <alignment horizontal="center" vertical="top"/>
    </xf>
    <xf numFmtId="0" fontId="122" fillId="9" borderId="16" xfId="17" applyFont="1" applyFill="1" applyBorder="1" applyAlignment="1">
      <alignment horizontal="center" vertical="top"/>
    </xf>
    <xf numFmtId="0" fontId="122" fillId="9" borderId="11" xfId="17" applyFont="1" applyFill="1" applyBorder="1" applyAlignment="1">
      <alignment horizontal="center" vertical="top"/>
    </xf>
    <xf numFmtId="0" fontId="122" fillId="9" borderId="170" xfId="17" applyFont="1" applyFill="1" applyBorder="1" applyAlignment="1">
      <alignment horizontal="center" vertical="top" wrapText="1"/>
    </xf>
    <xf numFmtId="0" fontId="122" fillId="9" borderId="171" xfId="17" applyFont="1" applyFill="1" applyBorder="1" applyAlignment="1">
      <alignment horizontal="center" vertical="top" wrapText="1"/>
    </xf>
    <xf numFmtId="0" fontId="122" fillId="9" borderId="15" xfId="17" applyFont="1" applyFill="1" applyBorder="1" applyAlignment="1">
      <alignment horizontal="center" vertical="top" wrapText="1"/>
    </xf>
    <xf numFmtId="0" fontId="122" fillId="9" borderId="27" xfId="17" applyFont="1" applyFill="1" applyBorder="1" applyAlignment="1">
      <alignment horizontal="center" vertical="top" wrapText="1"/>
    </xf>
    <xf numFmtId="0" fontId="114" fillId="9" borderId="170" xfId="0" applyFont="1" applyFill="1" applyBorder="1" applyAlignment="1">
      <alignment horizontal="center" vertical="top" wrapText="1"/>
    </xf>
    <xf numFmtId="0" fontId="114" fillId="9" borderId="171" xfId="0" applyFont="1" applyFill="1" applyBorder="1" applyAlignment="1">
      <alignment horizontal="center" vertical="top" wrapText="1"/>
    </xf>
    <xf numFmtId="0" fontId="114" fillId="9" borderId="15" xfId="0" applyFont="1" applyFill="1" applyBorder="1" applyAlignment="1">
      <alignment horizontal="center" vertical="top" wrapText="1"/>
    </xf>
    <xf numFmtId="0" fontId="114" fillId="9" borderId="27" xfId="0" applyFont="1" applyFill="1" applyBorder="1" applyAlignment="1">
      <alignment horizontal="center" vertical="top" wrapText="1"/>
    </xf>
    <xf numFmtId="0" fontId="114" fillId="0" borderId="4" xfId="0" applyFont="1" applyFill="1" applyBorder="1" applyAlignment="1">
      <alignment horizontal="center" vertical="top"/>
    </xf>
    <xf numFmtId="0" fontId="122" fillId="0" borderId="10" xfId="17" applyFont="1" applyFill="1" applyBorder="1" applyAlignment="1">
      <alignment horizontal="center" vertical="top"/>
    </xf>
    <xf numFmtId="0" fontId="117" fillId="0" borderId="134" xfId="0" applyFont="1" applyFill="1" applyBorder="1" applyAlignment="1">
      <alignment horizontal="center" vertical="top"/>
    </xf>
    <xf numFmtId="0" fontId="117" fillId="0" borderId="20" xfId="0" applyFont="1" applyFill="1" applyBorder="1" applyAlignment="1">
      <alignment horizontal="center" vertical="top"/>
    </xf>
    <xf numFmtId="2" fontId="147" fillId="0" borderId="157" xfId="0" applyNumberFormat="1" applyFont="1" applyFill="1" applyBorder="1" applyAlignment="1">
      <alignment horizontal="center" vertical="top" shrinkToFit="1"/>
    </xf>
    <xf numFmtId="2" fontId="147" fillId="0" borderId="159" xfId="0" applyNumberFormat="1" applyFont="1" applyFill="1" applyBorder="1" applyAlignment="1">
      <alignment horizontal="center" vertical="top" shrinkToFit="1"/>
    </xf>
    <xf numFmtId="2" fontId="147" fillId="0" borderId="158" xfId="0" applyNumberFormat="1" applyFont="1" applyFill="1" applyBorder="1" applyAlignment="1">
      <alignment horizontal="center" vertical="top" shrinkToFit="1"/>
    </xf>
    <xf numFmtId="0" fontId="145" fillId="0" borderId="157" xfId="0" applyFont="1" applyFill="1" applyBorder="1" applyAlignment="1">
      <alignment horizontal="center" vertical="center" wrapText="1"/>
    </xf>
    <xf numFmtId="0" fontId="145" fillId="0" borderId="159" xfId="0" applyFont="1" applyFill="1" applyBorder="1" applyAlignment="1">
      <alignment horizontal="center" vertical="center" wrapText="1"/>
    </xf>
    <xf numFmtId="1" fontId="147" fillId="0" borderId="157" xfId="0" applyNumberFormat="1" applyFont="1" applyFill="1" applyBorder="1" applyAlignment="1">
      <alignment horizontal="center" vertical="center" shrinkToFit="1"/>
    </xf>
    <xf numFmtId="1" fontId="147" fillId="0" borderId="159" xfId="0" applyNumberFormat="1" applyFont="1" applyFill="1" applyBorder="1" applyAlignment="1">
      <alignment horizontal="center" vertical="center" shrinkToFit="1"/>
    </xf>
    <xf numFmtId="1" fontId="147" fillId="0" borderId="158" xfId="0" applyNumberFormat="1" applyFont="1" applyFill="1" applyBorder="1" applyAlignment="1">
      <alignment horizontal="center" vertical="center" shrinkToFit="1"/>
    </xf>
    <xf numFmtId="2" fontId="147" fillId="0" borderId="157" xfId="0" applyNumberFormat="1" applyFont="1" applyFill="1" applyBorder="1" applyAlignment="1">
      <alignment horizontal="center" vertical="center" shrinkToFit="1"/>
    </xf>
    <xf numFmtId="2" fontId="147" fillId="0" borderId="159" xfId="0" applyNumberFormat="1" applyFont="1" applyFill="1" applyBorder="1" applyAlignment="1">
      <alignment horizontal="center" vertical="center" shrinkToFit="1"/>
    </xf>
    <xf numFmtId="2" fontId="147" fillId="0" borderId="158" xfId="0" applyNumberFormat="1" applyFont="1" applyFill="1" applyBorder="1" applyAlignment="1">
      <alignment horizontal="center" vertical="center" shrinkToFit="1"/>
    </xf>
    <xf numFmtId="10" fontId="147" fillId="0" borderId="157" xfId="0" applyNumberFormat="1" applyFont="1" applyFill="1" applyBorder="1" applyAlignment="1">
      <alignment horizontal="center" vertical="top" shrinkToFit="1"/>
    </xf>
    <xf numFmtId="10" fontId="147" fillId="0" borderId="159" xfId="0" applyNumberFormat="1" applyFont="1" applyFill="1" applyBorder="1" applyAlignment="1">
      <alignment horizontal="center" vertical="top" shrinkToFit="1"/>
    </xf>
    <xf numFmtId="172" fontId="147" fillId="0" borderId="157" xfId="0" applyNumberFormat="1" applyFont="1" applyFill="1" applyBorder="1" applyAlignment="1">
      <alignment horizontal="center" vertical="top" shrinkToFit="1"/>
    </xf>
    <xf numFmtId="172" fontId="147" fillId="0" borderId="159" xfId="0" applyNumberFormat="1" applyFont="1" applyFill="1" applyBorder="1" applyAlignment="1">
      <alignment horizontal="center" vertical="top" shrinkToFit="1"/>
    </xf>
    <xf numFmtId="172" fontId="147" fillId="0" borderId="158" xfId="0" applyNumberFormat="1" applyFont="1" applyFill="1" applyBorder="1" applyAlignment="1">
      <alignment horizontal="center" vertical="top" shrinkToFit="1"/>
    </xf>
    <xf numFmtId="0" fontId="145" fillId="0" borderId="157" xfId="0" applyFont="1" applyFill="1" applyBorder="1" applyAlignment="1">
      <alignment horizontal="center" vertical="top" wrapText="1"/>
    </xf>
    <xf numFmtId="0" fontId="145" fillId="0" borderId="159" xfId="0" applyFont="1" applyFill="1" applyBorder="1" applyAlignment="1">
      <alignment horizontal="center" vertical="top" wrapText="1"/>
    </xf>
    <xf numFmtId="0" fontId="145" fillId="0" borderId="158" xfId="0" applyFont="1" applyFill="1" applyBorder="1" applyAlignment="1">
      <alignment horizontal="center" vertical="top" wrapText="1"/>
    </xf>
    <xf numFmtId="2" fontId="146" fillId="0" borderId="157" xfId="0" applyNumberFormat="1" applyFont="1" applyFill="1" applyBorder="1" applyAlignment="1">
      <alignment horizontal="center" vertical="top" shrinkToFit="1"/>
    </xf>
    <xf numFmtId="2" fontId="146" fillId="0" borderId="159" xfId="0" applyNumberFormat="1" applyFont="1" applyFill="1" applyBorder="1" applyAlignment="1">
      <alignment horizontal="center" vertical="top" shrinkToFit="1"/>
    </xf>
    <xf numFmtId="2" fontId="146" fillId="0" borderId="158" xfId="0" applyNumberFormat="1" applyFont="1" applyFill="1" applyBorder="1" applyAlignment="1">
      <alignment horizontal="center" vertical="top" shrinkToFit="1"/>
    </xf>
    <xf numFmtId="169" fontId="146" fillId="0" borderId="157" xfId="0" applyNumberFormat="1" applyFont="1" applyFill="1" applyBorder="1" applyAlignment="1">
      <alignment horizontal="center" vertical="center" shrinkToFit="1"/>
    </xf>
    <xf numFmtId="169" fontId="146" fillId="0" borderId="159" xfId="0" applyNumberFormat="1" applyFont="1" applyFill="1" applyBorder="1" applyAlignment="1">
      <alignment horizontal="center" vertical="center" shrinkToFit="1"/>
    </xf>
    <xf numFmtId="2" fontId="146" fillId="0" borderId="157" xfId="0" applyNumberFormat="1" applyFont="1" applyFill="1" applyBorder="1" applyAlignment="1">
      <alignment horizontal="center" vertical="center" shrinkToFit="1"/>
    </xf>
    <xf numFmtId="2" fontId="146" fillId="0" borderId="159" xfId="0" applyNumberFormat="1" applyFont="1" applyFill="1" applyBorder="1" applyAlignment="1">
      <alignment horizontal="center" vertical="center" shrinkToFit="1"/>
    </xf>
    <xf numFmtId="2" fontId="146" fillId="0" borderId="158" xfId="0" applyNumberFormat="1" applyFont="1" applyFill="1" applyBorder="1" applyAlignment="1">
      <alignment horizontal="center" vertical="center" shrinkToFit="1"/>
    </xf>
    <xf numFmtId="0" fontId="0" fillId="65" borderId="156" xfId="0" applyFill="1" applyBorder="1" applyAlignment="1">
      <alignment horizontal="left" vertical="top" wrapText="1"/>
    </xf>
    <xf numFmtId="0" fontId="0" fillId="65" borderId="160" xfId="0" applyFill="1" applyBorder="1" applyAlignment="1">
      <alignment horizontal="left" vertical="top" wrapText="1"/>
    </xf>
    <xf numFmtId="0" fontId="145" fillId="65" borderId="156" xfId="0" applyFont="1" applyFill="1" applyBorder="1" applyAlignment="1">
      <alignment horizontal="left" wrapText="1"/>
    </xf>
    <xf numFmtId="0" fontId="145" fillId="65" borderId="160" xfId="0" applyFont="1" applyFill="1" applyBorder="1" applyAlignment="1">
      <alignment horizontal="left" wrapText="1"/>
    </xf>
    <xf numFmtId="0" fontId="145" fillId="65" borderId="157" xfId="0" applyFont="1" applyFill="1" applyBorder="1" applyAlignment="1">
      <alignment horizontal="center" vertical="top" wrapText="1"/>
    </xf>
    <xf numFmtId="0" fontId="145" fillId="65" borderId="158" xfId="0" applyFont="1" applyFill="1" applyBorder="1" applyAlignment="1">
      <alignment horizontal="center" vertical="top" wrapText="1"/>
    </xf>
    <xf numFmtId="0" fontId="145" fillId="65" borderId="159" xfId="0" applyFont="1" applyFill="1" applyBorder="1" applyAlignment="1">
      <alignment horizontal="center" vertical="top" wrapText="1"/>
    </xf>
    <xf numFmtId="0" fontId="0" fillId="65" borderId="157" xfId="0" applyFill="1" applyBorder="1" applyAlignment="1">
      <alignment horizontal="center" vertical="top" wrapText="1"/>
    </xf>
    <xf numFmtId="0" fontId="0" fillId="65" borderId="159" xfId="0" applyFill="1" applyBorder="1" applyAlignment="1">
      <alignment horizontal="center" vertical="top" wrapText="1"/>
    </xf>
    <xf numFmtId="0" fontId="0" fillId="65" borderId="158" xfId="0" applyFill="1" applyBorder="1" applyAlignment="1">
      <alignment horizontal="center" vertical="top" wrapText="1"/>
    </xf>
    <xf numFmtId="0" fontId="117" fillId="0" borderId="47" xfId="0" applyFont="1" applyBorder="1" applyAlignment="1">
      <alignment horizontal="left" vertical="center" wrapText="1"/>
    </xf>
    <xf numFmtId="0" fontId="123" fillId="0" borderId="135" xfId="564" applyFont="1" applyBorder="1" applyAlignment="1">
      <alignment horizontal="center" vertical="justify" wrapText="1"/>
    </xf>
    <xf numFmtId="0" fontId="123" fillId="0" borderId="136" xfId="564" applyFont="1" applyBorder="1" applyAlignment="1">
      <alignment horizontal="center" vertical="justify" wrapText="1"/>
    </xf>
    <xf numFmtId="0" fontId="123" fillId="0" borderId="137" xfId="564" applyFont="1" applyBorder="1" applyAlignment="1">
      <alignment horizontal="center" vertical="justify" wrapText="1"/>
    </xf>
    <xf numFmtId="0" fontId="117" fillId="13" borderId="15" xfId="0" applyFont="1" applyFill="1" applyBorder="1" applyAlignment="1">
      <alignment wrapText="1"/>
    </xf>
    <xf numFmtId="0" fontId="117" fillId="0" borderId="19" xfId="0" applyFont="1" applyBorder="1" applyAlignment="1">
      <alignment wrapText="1"/>
    </xf>
    <xf numFmtId="0" fontId="117" fillId="0" borderId="27" xfId="0" applyFont="1" applyBorder="1" applyAlignment="1">
      <alignment wrapText="1"/>
    </xf>
    <xf numFmtId="0" fontId="114" fillId="0" borderId="133" xfId="0" applyFont="1" applyBorder="1" applyAlignment="1">
      <alignment horizontal="center" vertical="center" wrapText="1"/>
    </xf>
    <xf numFmtId="0" fontId="114" fillId="0" borderId="16" xfId="0" applyFont="1" applyBorder="1" applyAlignment="1">
      <alignment horizontal="center" vertical="center" wrapText="1"/>
    </xf>
    <xf numFmtId="0" fontId="114" fillId="0" borderId="11" xfId="0" applyFont="1" applyBorder="1" applyAlignment="1">
      <alignment horizontal="center" vertical="center" wrapText="1"/>
    </xf>
    <xf numFmtId="0" fontId="114" fillId="0" borderId="16" xfId="0" applyFont="1" applyBorder="1" applyAlignment="1">
      <alignment horizontal="center" vertical="center"/>
    </xf>
    <xf numFmtId="0" fontId="114" fillId="0" borderId="4" xfId="0" applyFont="1" applyBorder="1" applyAlignment="1">
      <alignment horizontal="center" vertical="center"/>
    </xf>
    <xf numFmtId="0" fontId="120" fillId="0" borderId="0" xfId="564" applyFont="1" applyFill="1" applyBorder="1" applyAlignment="1">
      <alignment horizontal="center"/>
    </xf>
    <xf numFmtId="0" fontId="125" fillId="0" borderId="0" xfId="0" applyFont="1" applyAlignment="1"/>
    <xf numFmtId="0" fontId="127" fillId="0" borderId="0" xfId="0" applyFont="1" applyFill="1" applyBorder="1" applyAlignment="1">
      <alignment horizontal="left" vertical="center"/>
    </xf>
    <xf numFmtId="0" fontId="114" fillId="0" borderId="147" xfId="0" applyFont="1" applyBorder="1" applyAlignment="1">
      <alignment horizontal="center" vertical="center"/>
    </xf>
    <xf numFmtId="0" fontId="114" fillId="0" borderId="47" xfId="0" applyFont="1" applyBorder="1" applyAlignment="1">
      <alignment horizontal="center" vertical="center"/>
    </xf>
    <xf numFmtId="0" fontId="114" fillId="0" borderId="148" xfId="0" applyFont="1" applyBorder="1" applyAlignment="1">
      <alignment horizontal="center" vertical="center"/>
    </xf>
    <xf numFmtId="0" fontId="114" fillId="0" borderId="24" xfId="0" applyFont="1" applyBorder="1" applyAlignment="1">
      <alignment horizontal="center" vertical="center"/>
    </xf>
    <xf numFmtId="0" fontId="114" fillId="0" borderId="0" xfId="0" applyFont="1" applyBorder="1" applyAlignment="1">
      <alignment horizontal="center" vertical="center"/>
    </xf>
    <xf numFmtId="0" fontId="114" fillId="0" borderId="25" xfId="0" applyFont="1" applyBorder="1" applyAlignment="1">
      <alignment horizontal="center" vertical="center"/>
    </xf>
    <xf numFmtId="0" fontId="114" fillId="0" borderId="15" xfId="0" applyFont="1" applyBorder="1" applyAlignment="1">
      <alignment horizontal="center" vertical="center"/>
    </xf>
    <xf numFmtId="0" fontId="114" fillId="0" borderId="19" xfId="0" applyFont="1" applyBorder="1" applyAlignment="1">
      <alignment horizontal="center" vertical="center"/>
    </xf>
    <xf numFmtId="0" fontId="114" fillId="0" borderId="27" xfId="0" applyFont="1" applyBorder="1" applyAlignment="1">
      <alignment horizontal="center" vertical="center"/>
    </xf>
    <xf numFmtId="0" fontId="117" fillId="0" borderId="4" xfId="0" applyFont="1" applyBorder="1" applyAlignment="1">
      <alignment horizontal="center" vertical="center"/>
    </xf>
    <xf numFmtId="0" fontId="117" fillId="0" borderId="4" xfId="0" applyFont="1" applyBorder="1" applyAlignment="1">
      <alignment horizontal="center" vertical="center" wrapText="1"/>
    </xf>
    <xf numFmtId="0" fontId="124" fillId="0" borderId="0" xfId="0" applyFont="1" applyFill="1" applyBorder="1" applyAlignment="1"/>
    <xf numFmtId="0" fontId="119" fillId="0" borderId="133"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9" fillId="0" borderId="19" xfId="0" applyFont="1" applyFill="1" applyBorder="1" applyAlignment="1">
      <alignment horizontal="center"/>
    </xf>
    <xf numFmtId="0" fontId="119" fillId="0" borderId="0" xfId="17" applyFont="1" applyFill="1" applyBorder="1" applyAlignment="1">
      <alignment horizontal="left" vertical="center"/>
    </xf>
    <xf numFmtId="0" fontId="119" fillId="9" borderId="133" xfId="0" applyFont="1" applyFill="1" applyBorder="1" applyAlignment="1">
      <alignment horizontal="center" vertical="center" wrapText="1"/>
    </xf>
    <xf numFmtId="0" fontId="119" fillId="9" borderId="11" xfId="0" applyFont="1" applyFill="1" applyBorder="1" applyAlignment="1">
      <alignment horizontal="center" vertical="center" wrapText="1"/>
    </xf>
    <xf numFmtId="0" fontId="126" fillId="9" borderId="10" xfId="0" applyFont="1" applyFill="1" applyBorder="1" applyAlignment="1">
      <alignment horizontal="center" vertical="center" wrapText="1"/>
    </xf>
    <xf numFmtId="0" fontId="126" fillId="9" borderId="134" xfId="0" applyFont="1" applyFill="1" applyBorder="1" applyAlignment="1">
      <alignment horizontal="center" vertical="center" wrapText="1"/>
    </xf>
    <xf numFmtId="0" fontId="126" fillId="9" borderId="20" xfId="0" applyFont="1" applyFill="1" applyBorder="1" applyAlignment="1">
      <alignment horizontal="center" vertical="center" wrapText="1"/>
    </xf>
    <xf numFmtId="0" fontId="197" fillId="0" borderId="0" xfId="0" applyFont="1" applyFill="1" applyAlignment="1">
      <alignment horizontal="center"/>
    </xf>
    <xf numFmtId="0" fontId="125" fillId="0" borderId="0" xfId="0" applyFont="1" applyAlignment="1">
      <alignment horizontal="left" wrapText="1"/>
    </xf>
    <xf numFmtId="0" fontId="126" fillId="0" borderId="4" xfId="0" applyFont="1" applyFill="1" applyBorder="1" applyAlignment="1">
      <alignment horizontal="center" vertical="center" wrapText="1"/>
    </xf>
    <xf numFmtId="0" fontId="117" fillId="13" borderId="47" xfId="0" applyFont="1" applyFill="1" applyBorder="1" applyAlignment="1"/>
    <xf numFmtId="0" fontId="117" fillId="0" borderId="134" xfId="0" applyFont="1" applyBorder="1" applyAlignment="1">
      <alignment horizontal="left"/>
    </xf>
    <xf numFmtId="0" fontId="122" fillId="0" borderId="4" xfId="17" applyFont="1" applyFill="1" applyBorder="1" applyAlignment="1">
      <alignment horizontal="center" vertical="center"/>
    </xf>
    <xf numFmtId="0" fontId="117" fillId="0" borderId="0" xfId="0" applyFont="1" applyAlignment="1">
      <alignment horizontal="justify" wrapText="1"/>
    </xf>
    <xf numFmtId="0" fontId="114" fillId="0" borderId="133" xfId="0" applyFont="1" applyBorder="1" applyAlignment="1">
      <alignment horizontal="center"/>
    </xf>
    <xf numFmtId="0" fontId="114" fillId="0" borderId="16" xfId="0" applyFont="1" applyBorder="1" applyAlignment="1">
      <alignment horizontal="center"/>
    </xf>
    <xf numFmtId="0" fontId="123" fillId="0" borderId="0" xfId="564" applyFont="1" applyFill="1" applyBorder="1" applyAlignment="1">
      <alignment horizontal="center"/>
    </xf>
    <xf numFmtId="0" fontId="126" fillId="0" borderId="16" xfId="0" applyFont="1" applyBorder="1" applyAlignment="1">
      <alignment horizontal="center" vertical="center"/>
    </xf>
    <xf numFmtId="0" fontId="126" fillId="0" borderId="170" xfId="0" applyFont="1" applyBorder="1" applyAlignment="1">
      <alignment horizontal="center" vertical="center"/>
    </xf>
    <xf numFmtId="0" fontId="126" fillId="0" borderId="47" xfId="0" applyFont="1" applyBorder="1" applyAlignment="1">
      <alignment horizontal="center" vertical="center"/>
    </xf>
    <xf numFmtId="0" fontId="126" fillId="0" borderId="171" xfId="0" applyFont="1" applyBorder="1" applyAlignment="1">
      <alignment horizontal="center" vertical="center"/>
    </xf>
    <xf numFmtId="0" fontId="126" fillId="0" borderId="15" xfId="0" applyFont="1" applyBorder="1" applyAlignment="1">
      <alignment horizontal="center" vertical="center"/>
    </xf>
    <xf numFmtId="0" fontId="126" fillId="0" borderId="19" xfId="0" applyFont="1" applyBorder="1" applyAlignment="1">
      <alignment horizontal="center" vertical="center"/>
    </xf>
    <xf numFmtId="0" fontId="126" fillId="0" borderId="27" xfId="0" applyFont="1" applyBorder="1" applyAlignment="1">
      <alignment horizontal="center" vertical="center"/>
    </xf>
    <xf numFmtId="0" fontId="125" fillId="0" borderId="145" xfId="0" applyFont="1" applyBorder="1" applyAlignment="1">
      <alignment wrapText="1"/>
    </xf>
    <xf numFmtId="0" fontId="124" fillId="5" borderId="0" xfId="17" applyFont="1" applyFill="1" applyBorder="1" applyAlignment="1">
      <alignment horizontal="left"/>
    </xf>
    <xf numFmtId="0" fontId="119" fillId="0" borderId="4" xfId="0" applyFont="1" applyFill="1" applyBorder="1" applyAlignment="1">
      <alignment horizontal="center"/>
    </xf>
    <xf numFmtId="0" fontId="119" fillId="0" borderId="4" xfId="0" applyFont="1" applyFill="1" applyBorder="1" applyAlignment="1">
      <alignment horizontal="center" wrapText="1"/>
    </xf>
    <xf numFmtId="0" fontId="119" fillId="0" borderId="133" xfId="0" applyFont="1" applyFill="1" applyBorder="1" applyAlignment="1">
      <alignment horizontal="center" vertical="top"/>
    </xf>
    <xf numFmtId="0" fontId="119" fillId="0" borderId="11" xfId="0" applyFont="1" applyFill="1" applyBorder="1" applyAlignment="1">
      <alignment horizontal="center" vertical="top"/>
    </xf>
    <xf numFmtId="0" fontId="119" fillId="0" borderId="4" xfId="0" applyFont="1" applyFill="1" applyBorder="1" applyAlignment="1">
      <alignment horizontal="center" vertical="top" wrapText="1"/>
    </xf>
    <xf numFmtId="43" fontId="125" fillId="0" borderId="165" xfId="72" applyFont="1" applyBorder="1" applyAlignment="1">
      <alignment horizontal="center" vertical="center"/>
    </xf>
    <xf numFmtId="43" fontId="125" fillId="0" borderId="47" xfId="72" applyFont="1" applyBorder="1" applyAlignment="1">
      <alignment horizontal="center" vertical="center"/>
    </xf>
    <xf numFmtId="43" fontId="125" fillId="0" borderId="166" xfId="72" applyFont="1" applyBorder="1" applyAlignment="1">
      <alignment horizontal="center" vertical="center"/>
    </xf>
    <xf numFmtId="43" fontId="125" fillId="0" borderId="24" xfId="72" applyFont="1" applyBorder="1" applyAlignment="1">
      <alignment horizontal="center" vertical="center"/>
    </xf>
    <xf numFmtId="43" fontId="125" fillId="0" borderId="0" xfId="72" applyFont="1" applyBorder="1" applyAlignment="1">
      <alignment horizontal="center" vertical="center"/>
    </xf>
    <xf numFmtId="43" fontId="125" fillId="0" borderId="25" xfId="72" applyFont="1" applyBorder="1" applyAlignment="1">
      <alignment horizontal="center" vertical="center"/>
    </xf>
    <xf numFmtId="43" fontId="125" fillId="0" borderId="15" xfId="72" applyFont="1" applyBorder="1" applyAlignment="1">
      <alignment horizontal="center" vertical="center"/>
    </xf>
    <xf numFmtId="43" fontId="125" fillId="0" borderId="19" xfId="72" applyFont="1" applyBorder="1" applyAlignment="1">
      <alignment horizontal="center" vertical="center"/>
    </xf>
    <xf numFmtId="43" fontId="125" fillId="0" borderId="27" xfId="72" applyFont="1" applyBorder="1" applyAlignment="1">
      <alignment horizontal="center" vertical="center"/>
    </xf>
    <xf numFmtId="43" fontId="120" fillId="0" borderId="165" xfId="72" applyFont="1" applyFill="1" applyBorder="1" applyAlignment="1">
      <alignment horizontal="center" vertical="center"/>
    </xf>
    <xf numFmtId="43" fontId="120" fillId="0" borderId="47" xfId="72" applyFont="1" applyFill="1" applyBorder="1" applyAlignment="1">
      <alignment horizontal="center" vertical="center"/>
    </xf>
    <xf numFmtId="43" fontId="120" fillId="0" borderId="166" xfId="72" applyFont="1" applyFill="1" applyBorder="1" applyAlignment="1">
      <alignment horizontal="center" vertical="center"/>
    </xf>
    <xf numFmtId="43" fontId="120" fillId="0" borderId="24" xfId="72" applyFont="1" applyFill="1" applyBorder="1" applyAlignment="1">
      <alignment horizontal="center" vertical="center"/>
    </xf>
    <xf numFmtId="43" fontId="120" fillId="0" borderId="0" xfId="72" applyFont="1" applyFill="1" applyBorder="1" applyAlignment="1">
      <alignment horizontal="center" vertical="center"/>
    </xf>
    <xf numFmtId="43" fontId="120" fillId="0" borderId="25" xfId="72" applyFont="1" applyFill="1" applyBorder="1" applyAlignment="1">
      <alignment horizontal="center" vertical="center"/>
    </xf>
    <xf numFmtId="43" fontId="120" fillId="0" borderId="15" xfId="72" applyFont="1" applyFill="1" applyBorder="1" applyAlignment="1">
      <alignment horizontal="center" vertical="center"/>
    </xf>
    <xf numFmtId="43" fontId="120" fillId="0" borderId="19" xfId="72" applyFont="1" applyFill="1" applyBorder="1" applyAlignment="1">
      <alignment horizontal="center" vertical="center"/>
    </xf>
    <xf numFmtId="43" fontId="120" fillId="0" borderId="27" xfId="72" applyFont="1" applyFill="1" applyBorder="1" applyAlignment="1">
      <alignment horizontal="center" vertical="center"/>
    </xf>
    <xf numFmtId="0" fontId="125" fillId="0" borderId="147" xfId="0" applyFont="1" applyFill="1" applyBorder="1" applyAlignment="1">
      <alignment horizontal="left"/>
    </xf>
    <xf numFmtId="0" fontId="125" fillId="0" borderId="47" xfId="0" applyFont="1" applyFill="1" applyBorder="1" applyAlignment="1">
      <alignment horizontal="left"/>
    </xf>
    <xf numFmtId="0" fontId="170" fillId="0" borderId="0" xfId="0" applyFont="1" applyFill="1" applyBorder="1" applyAlignment="1">
      <alignment vertical="center"/>
    </xf>
    <xf numFmtId="0" fontId="122" fillId="0" borderId="4" xfId="0" applyFont="1" applyFill="1" applyBorder="1" applyAlignment="1">
      <alignment horizontal="center" wrapText="1"/>
    </xf>
    <xf numFmtId="0" fontId="123" fillId="0" borderId="10" xfId="0" applyFont="1" applyFill="1" applyBorder="1" applyAlignment="1">
      <alignment wrapText="1"/>
    </xf>
    <xf numFmtId="0" fontId="123" fillId="0" borderId="134" xfId="0" applyFont="1" applyFill="1" applyBorder="1" applyAlignment="1">
      <alignment wrapText="1"/>
    </xf>
    <xf numFmtId="0" fontId="123" fillId="0" borderId="20" xfId="0" applyFont="1" applyFill="1" applyBorder="1" applyAlignment="1">
      <alignment wrapText="1"/>
    </xf>
    <xf numFmtId="0" fontId="123" fillId="0" borderId="10" xfId="0" applyFont="1" applyFill="1" applyBorder="1" applyAlignment="1"/>
    <xf numFmtId="0" fontId="123" fillId="0" borderId="134" xfId="0" applyFont="1" applyFill="1" applyBorder="1" applyAlignment="1"/>
    <xf numFmtId="0" fontId="123" fillId="0" borderId="20" xfId="0" applyFont="1" applyFill="1" applyBorder="1" applyAlignment="1"/>
    <xf numFmtId="0" fontId="119" fillId="0" borderId="4" xfId="0" applyFont="1" applyFill="1" applyBorder="1" applyAlignment="1">
      <alignment horizontal="center" vertical="center"/>
    </xf>
    <xf numFmtId="0" fontId="120" fillId="0" borderId="19" xfId="0" applyFont="1" applyFill="1" applyBorder="1" applyAlignment="1">
      <alignment horizontal="center"/>
    </xf>
    <xf numFmtId="0" fontId="124" fillId="0" borderId="0" xfId="17" applyFont="1" applyFill="1" applyBorder="1" applyAlignment="1">
      <alignment horizontal="left"/>
    </xf>
    <xf numFmtId="0" fontId="180" fillId="0" borderId="30" xfId="0" applyFont="1" applyBorder="1" applyAlignment="1">
      <alignment horizontal="justify" vertical="center" wrapText="1"/>
    </xf>
    <xf numFmtId="0" fontId="180" fillId="0" borderId="2" xfId="0" applyFont="1" applyBorder="1" applyAlignment="1">
      <alignment horizontal="justify" vertical="center" wrapText="1"/>
    </xf>
    <xf numFmtId="0" fontId="180" fillId="0" borderId="31" xfId="0" applyFont="1" applyBorder="1" applyAlignment="1">
      <alignment horizontal="justify" vertical="center" wrapText="1"/>
    </xf>
    <xf numFmtId="0" fontId="125" fillId="0" borderId="19" xfId="0" applyFont="1" applyBorder="1" applyAlignment="1">
      <alignment horizontal="center"/>
    </xf>
    <xf numFmtId="0" fontId="119" fillId="0" borderId="133" xfId="0" applyFont="1" applyFill="1" applyBorder="1" applyAlignment="1">
      <alignment horizontal="center"/>
    </xf>
    <xf numFmtId="0" fontId="119" fillId="0" borderId="11" xfId="0" applyFont="1" applyFill="1" applyBorder="1" applyAlignment="1">
      <alignment horizontal="center"/>
    </xf>
    <xf numFmtId="0" fontId="119" fillId="0" borderId="133" xfId="0" applyFont="1" applyFill="1" applyBorder="1" applyAlignment="1">
      <alignment horizontal="center" wrapText="1"/>
    </xf>
    <xf numFmtId="0" fontId="119" fillId="0" borderId="11" xfId="0" applyFont="1" applyFill="1" applyBorder="1" applyAlignment="1">
      <alignment horizontal="center" wrapText="1"/>
    </xf>
    <xf numFmtId="0" fontId="119" fillId="0" borderId="147" xfId="0" applyFont="1" applyFill="1" applyBorder="1" applyAlignment="1">
      <alignment horizontal="center"/>
    </xf>
    <xf numFmtId="0" fontId="119" fillId="0" borderId="148" xfId="0" applyFont="1" applyFill="1" applyBorder="1" applyAlignment="1">
      <alignment horizontal="center"/>
    </xf>
    <xf numFmtId="0" fontId="119" fillId="0" borderId="15" xfId="0" applyFont="1" applyFill="1" applyBorder="1" applyAlignment="1">
      <alignment horizontal="center"/>
    </xf>
    <xf numFmtId="0" fontId="119" fillId="0" borderId="27" xfId="0" applyFont="1" applyFill="1" applyBorder="1" applyAlignment="1">
      <alignment horizontal="center"/>
    </xf>
    <xf numFmtId="0" fontId="120" fillId="0" borderId="0" xfId="0" applyFont="1" applyFill="1" applyAlignment="1">
      <alignment horizontal="left" wrapText="1"/>
    </xf>
    <xf numFmtId="0" fontId="120" fillId="0" borderId="165" xfId="0" applyFont="1" applyFill="1" applyBorder="1" applyAlignment="1">
      <alignment horizontal="center" vertical="center"/>
    </xf>
    <xf numFmtId="0" fontId="120" fillId="0" borderId="118" xfId="0" applyFont="1" applyFill="1" applyBorder="1" applyAlignment="1">
      <alignment horizontal="center" vertical="center"/>
    </xf>
    <xf numFmtId="0" fontId="120" fillId="0" borderId="166" xfId="0" applyFont="1" applyFill="1" applyBorder="1" applyAlignment="1">
      <alignment horizontal="center" vertical="center"/>
    </xf>
    <xf numFmtId="0" fontId="120" fillId="0" borderId="24" xfId="0" applyFont="1" applyFill="1" applyBorder="1" applyAlignment="1">
      <alignment horizontal="center" vertical="center"/>
    </xf>
    <xf numFmtId="0" fontId="120" fillId="0" borderId="0" xfId="0" applyFont="1" applyFill="1" applyBorder="1" applyAlignment="1">
      <alignment horizontal="center" vertical="center"/>
    </xf>
    <xf numFmtId="0" fontId="120" fillId="0" borderId="25" xfId="0" applyFont="1" applyFill="1" applyBorder="1" applyAlignment="1">
      <alignment horizontal="center" vertical="center"/>
    </xf>
    <xf numFmtId="0" fontId="120" fillId="0" borderId="15" xfId="0" applyFont="1" applyFill="1" applyBorder="1" applyAlignment="1">
      <alignment horizontal="center" vertical="center"/>
    </xf>
    <xf numFmtId="0" fontId="120" fillId="0" borderId="19" xfId="0" applyFont="1" applyFill="1" applyBorder="1" applyAlignment="1">
      <alignment horizontal="center" vertical="center"/>
    </xf>
    <xf numFmtId="0" fontId="120" fillId="0" borderId="27" xfId="0" applyFont="1" applyFill="1" applyBorder="1" applyAlignment="1">
      <alignment horizontal="center" vertical="center"/>
    </xf>
    <xf numFmtId="0" fontId="125" fillId="13" borderId="10" xfId="0" applyFont="1" applyFill="1" applyBorder="1" applyAlignment="1">
      <alignment wrapText="1"/>
    </xf>
    <xf numFmtId="0" fontId="125" fillId="0" borderId="134" xfId="0" applyFont="1" applyBorder="1" applyAlignment="1">
      <alignment wrapText="1"/>
    </xf>
    <xf numFmtId="0" fontId="125" fillId="0" borderId="20" xfId="0" applyFont="1" applyBorder="1" applyAlignment="1">
      <alignment wrapText="1"/>
    </xf>
    <xf numFmtId="0" fontId="125" fillId="13" borderId="10" xfId="0" applyFont="1" applyFill="1" applyBorder="1" applyAlignment="1"/>
    <xf numFmtId="0" fontId="125" fillId="0" borderId="134" xfId="0" applyFont="1" applyBorder="1" applyAlignment="1"/>
    <xf numFmtId="0" fontId="125" fillId="0" borderId="20" xfId="0" applyFont="1" applyBorder="1" applyAlignment="1"/>
    <xf numFmtId="175" fontId="119" fillId="0" borderId="147" xfId="0" applyNumberFormat="1" applyFont="1" applyFill="1" applyBorder="1" applyAlignment="1">
      <alignment horizontal="center" vertical="center"/>
    </xf>
    <xf numFmtId="175" fontId="119" fillId="0" borderId="148" xfId="0" applyNumberFormat="1" applyFont="1" applyFill="1" applyBorder="1" applyAlignment="1">
      <alignment horizontal="center" vertical="center"/>
    </xf>
    <xf numFmtId="175" fontId="119" fillId="0" borderId="24" xfId="0" applyNumberFormat="1" applyFont="1" applyFill="1" applyBorder="1" applyAlignment="1">
      <alignment horizontal="center" vertical="center"/>
    </xf>
    <xf numFmtId="175" fontId="119" fillId="0" borderId="25" xfId="0" applyNumberFormat="1" applyFont="1" applyFill="1" applyBorder="1" applyAlignment="1">
      <alignment horizontal="center" vertical="center"/>
    </xf>
    <xf numFmtId="175" fontId="119" fillId="0" borderId="15" xfId="0" applyNumberFormat="1" applyFont="1" applyFill="1" applyBorder="1" applyAlignment="1">
      <alignment horizontal="center" vertical="center"/>
    </xf>
    <xf numFmtId="175" fontId="119" fillId="0" borderId="27" xfId="0" applyNumberFormat="1" applyFont="1" applyFill="1" applyBorder="1" applyAlignment="1">
      <alignment horizontal="center" vertical="center"/>
    </xf>
    <xf numFmtId="0" fontId="125" fillId="0" borderId="4" xfId="0" applyFont="1" applyBorder="1" applyAlignment="1">
      <alignment vertical="top"/>
    </xf>
    <xf numFmtId="0" fontId="125" fillId="0" borderId="4" xfId="0" applyFont="1" applyBorder="1" applyAlignment="1">
      <alignment horizontal="center" vertical="top"/>
    </xf>
    <xf numFmtId="43" fontId="125" fillId="0" borderId="165" xfId="0" applyNumberFormat="1" applyFont="1" applyBorder="1" applyAlignment="1">
      <alignment horizontal="center" vertical="center" wrapText="1"/>
    </xf>
    <xf numFmtId="43" fontId="125" fillId="0" borderId="166" xfId="0" applyNumberFormat="1" applyFont="1" applyBorder="1" applyAlignment="1">
      <alignment horizontal="center" vertical="center" wrapText="1"/>
    </xf>
    <xf numFmtId="43" fontId="125" fillId="0" borderId="24" xfId="0" applyNumberFormat="1" applyFont="1" applyBorder="1" applyAlignment="1">
      <alignment horizontal="center" vertical="center" wrapText="1"/>
    </xf>
    <xf numFmtId="43" fontId="125" fillId="0" borderId="25" xfId="0" applyNumberFormat="1" applyFont="1" applyBorder="1" applyAlignment="1">
      <alignment horizontal="center" vertical="center" wrapText="1"/>
    </xf>
    <xf numFmtId="43" fontId="125" fillId="0" borderId="15" xfId="0" applyNumberFormat="1" applyFont="1" applyBorder="1" applyAlignment="1">
      <alignment horizontal="center" vertical="center" wrapText="1"/>
    </xf>
    <xf numFmtId="43" fontId="125" fillId="0" borderId="27" xfId="0" applyNumberFormat="1" applyFont="1" applyBorder="1" applyAlignment="1">
      <alignment horizontal="center" vertical="center" wrapText="1"/>
    </xf>
    <xf numFmtId="0" fontId="122" fillId="9" borderId="4" xfId="17" applyFont="1" applyFill="1" applyBorder="1" applyAlignment="1">
      <alignment horizontal="center"/>
    </xf>
    <xf numFmtId="0" fontId="171" fillId="0" borderId="0" xfId="0" applyFont="1" applyBorder="1" applyAlignment="1"/>
    <xf numFmtId="0" fontId="123" fillId="0" borderId="4" xfId="17" applyFont="1" applyFill="1" applyBorder="1" applyAlignment="1">
      <alignment horizontal="center"/>
    </xf>
    <xf numFmtId="0" fontId="123" fillId="9" borderId="165" xfId="17" applyFont="1" applyFill="1" applyBorder="1" applyAlignment="1">
      <alignment horizontal="center" vertical="center"/>
    </xf>
    <xf numFmtId="0" fontId="123" fillId="9" borderId="47" xfId="17" applyFont="1" applyFill="1" applyBorder="1" applyAlignment="1">
      <alignment horizontal="center" vertical="center"/>
    </xf>
    <xf numFmtId="0" fontId="123" fillId="9" borderId="166" xfId="17" applyFont="1" applyFill="1" applyBorder="1" applyAlignment="1">
      <alignment horizontal="center" vertical="center"/>
    </xf>
    <xf numFmtId="0" fontId="123" fillId="9" borderId="24" xfId="17" applyFont="1" applyFill="1" applyBorder="1" applyAlignment="1">
      <alignment horizontal="center" vertical="center"/>
    </xf>
    <xf numFmtId="0" fontId="123" fillId="9" borderId="0" xfId="17" applyFont="1" applyFill="1" applyBorder="1" applyAlignment="1">
      <alignment horizontal="center" vertical="center"/>
    </xf>
    <xf numFmtId="0" fontId="123" fillId="9" borderId="25" xfId="17" applyFont="1" applyFill="1" applyBorder="1" applyAlignment="1">
      <alignment horizontal="center" vertical="center"/>
    </xf>
    <xf numFmtId="0" fontId="123" fillId="9" borderId="15" xfId="17" applyFont="1" applyFill="1" applyBorder="1" applyAlignment="1">
      <alignment horizontal="center" vertical="center"/>
    </xf>
    <xf numFmtId="0" fontId="123" fillId="9" borderId="19" xfId="17" applyFont="1" applyFill="1" applyBorder="1" applyAlignment="1">
      <alignment horizontal="center" vertical="center"/>
    </xf>
    <xf numFmtId="0" fontId="123" fillId="9" borderId="27" xfId="17" applyFont="1" applyFill="1" applyBorder="1" applyAlignment="1">
      <alignment horizontal="center" vertical="center"/>
    </xf>
    <xf numFmtId="0" fontId="121" fillId="0" borderId="0" xfId="0" applyFont="1" applyFill="1" applyBorder="1" applyAlignment="1"/>
    <xf numFmtId="0" fontId="122" fillId="0" borderId="4" xfId="0" applyFont="1" applyFill="1" applyBorder="1" applyAlignment="1">
      <alignment horizontal="center" vertical="center"/>
    </xf>
    <xf numFmtId="0" fontId="122" fillId="0" borderId="4" xfId="17" applyFont="1" applyFill="1" applyBorder="1" applyAlignment="1">
      <alignment horizontal="center" vertical="center" wrapText="1"/>
    </xf>
    <xf numFmtId="2" fontId="182" fillId="66" borderId="4" xfId="4199" applyNumberFormat="1" applyFont="1" applyFill="1" applyBorder="1" applyAlignment="1">
      <alignment horizontal="center" vertical="center"/>
    </xf>
    <xf numFmtId="2" fontId="182" fillId="66" borderId="10" xfId="4199" applyNumberFormat="1" applyFont="1" applyFill="1" applyBorder="1" applyAlignment="1">
      <alignment horizontal="center" vertical="center" wrapText="1"/>
    </xf>
    <xf numFmtId="2" fontId="182" fillId="66" borderId="134" xfId="4199" applyNumberFormat="1" applyFont="1" applyFill="1" applyBorder="1" applyAlignment="1">
      <alignment horizontal="center" vertical="center" wrapText="1"/>
    </xf>
    <xf numFmtId="2" fontId="182" fillId="66" borderId="20" xfId="4199" applyNumberFormat="1" applyFont="1" applyFill="1" applyBorder="1" applyAlignment="1">
      <alignment horizontal="center" vertical="center" wrapText="1"/>
    </xf>
    <xf numFmtId="2" fontId="182" fillId="66" borderId="4" xfId="4199" applyNumberFormat="1" applyFont="1" applyFill="1" applyBorder="1" applyAlignment="1">
      <alignment horizontal="center" vertical="center" wrapText="1"/>
    </xf>
    <xf numFmtId="2" fontId="182" fillId="13" borderId="10" xfId="4199" applyNumberFormat="1" applyFont="1" applyFill="1" applyBorder="1" applyAlignment="1">
      <alignment horizontal="center" vertical="center" wrapText="1"/>
    </xf>
    <xf numFmtId="2" fontId="182" fillId="13" borderId="134" xfId="4199" applyNumberFormat="1" applyFont="1" applyFill="1" applyBorder="1" applyAlignment="1">
      <alignment horizontal="center" vertical="center" wrapText="1"/>
    </xf>
    <xf numFmtId="2" fontId="182" fillId="13" borderId="20" xfId="4199" applyNumberFormat="1" applyFont="1" applyFill="1" applyBorder="1" applyAlignment="1">
      <alignment horizontal="center" vertical="center" wrapText="1"/>
    </xf>
    <xf numFmtId="49" fontId="192" fillId="0" borderId="170" xfId="0" applyNumberFormat="1" applyFont="1" applyBorder="1" applyAlignment="1">
      <alignment horizontal="center" vertical="top"/>
    </xf>
    <xf numFmtId="49" fontId="192" fillId="0" borderId="47" xfId="0" applyNumberFormat="1" applyFont="1" applyBorder="1" applyAlignment="1">
      <alignment horizontal="center" vertical="top"/>
    </xf>
    <xf numFmtId="49" fontId="190" fillId="0" borderId="0" xfId="0" applyNumberFormat="1" applyFont="1" applyAlignment="1">
      <alignment vertical="top"/>
    </xf>
    <xf numFmtId="49" fontId="191" fillId="0" borderId="0" xfId="0" applyNumberFormat="1" applyFont="1" applyAlignment="1">
      <alignment vertical="top"/>
    </xf>
    <xf numFmtId="49" fontId="192" fillId="0" borderId="170" xfId="0" applyNumberFormat="1" applyFont="1" applyBorder="1" applyAlignment="1">
      <alignment horizontal="center" vertical="top" wrapText="1"/>
    </xf>
    <xf numFmtId="49" fontId="192" fillId="0" borderId="47" xfId="0" applyNumberFormat="1" applyFont="1" applyBorder="1" applyAlignment="1">
      <alignment horizontal="center" vertical="top" wrapText="1"/>
    </xf>
    <xf numFmtId="49" fontId="193" fillId="0" borderId="24" xfId="0" applyNumberFormat="1" applyFont="1" applyBorder="1" applyAlignment="1">
      <alignment horizontal="center" vertical="top" wrapText="1"/>
    </xf>
    <xf numFmtId="49" fontId="193" fillId="0" borderId="0" xfId="0" applyNumberFormat="1" applyFont="1" applyAlignment="1">
      <alignment horizontal="center" vertical="top" wrapText="1"/>
    </xf>
    <xf numFmtId="0" fontId="221" fillId="0" borderId="0" xfId="0" applyFont="1" applyAlignment="1">
      <alignment horizontal="center"/>
    </xf>
    <xf numFmtId="174" fontId="125" fillId="0" borderId="165" xfId="0" applyNumberFormat="1" applyFont="1" applyBorder="1" applyAlignment="1">
      <alignment horizontal="center" vertical="center"/>
    </xf>
    <xf numFmtId="174" fontId="125" fillId="0" borderId="47" xfId="0" applyNumberFormat="1" applyFont="1" applyBorder="1" applyAlignment="1">
      <alignment horizontal="center" vertical="center"/>
    </xf>
    <xf numFmtId="174" fontId="125" fillId="0" borderId="166" xfId="0" applyNumberFormat="1" applyFont="1" applyBorder="1" applyAlignment="1">
      <alignment horizontal="center" vertical="center"/>
    </xf>
    <xf numFmtId="174" fontId="125" fillId="0" borderId="24" xfId="0" applyNumberFormat="1" applyFont="1" applyBorder="1" applyAlignment="1">
      <alignment horizontal="center" vertical="center"/>
    </xf>
    <xf numFmtId="174" fontId="125" fillId="0" borderId="0" xfId="0" applyNumberFormat="1" applyFont="1" applyBorder="1" applyAlignment="1">
      <alignment horizontal="center" vertical="center"/>
    </xf>
    <xf numFmtId="174" fontId="125" fillId="0" borderId="25" xfId="0" applyNumberFormat="1" applyFont="1" applyBorder="1" applyAlignment="1">
      <alignment horizontal="center" vertical="center"/>
    </xf>
    <xf numFmtId="174" fontId="125" fillId="0" borderId="15" xfId="0" applyNumberFormat="1" applyFont="1" applyBorder="1" applyAlignment="1">
      <alignment horizontal="center" vertical="center"/>
    </xf>
    <xf numFmtId="174" fontId="125" fillId="0" borderId="19" xfId="0" applyNumberFormat="1" applyFont="1" applyBorder="1" applyAlignment="1">
      <alignment horizontal="center" vertical="center"/>
    </xf>
    <xf numFmtId="174" fontId="125" fillId="0" borderId="27" xfId="0" applyNumberFormat="1" applyFont="1" applyBorder="1" applyAlignment="1">
      <alignment horizontal="center" vertical="center"/>
    </xf>
    <xf numFmtId="0" fontId="221" fillId="0" borderId="133" xfId="0" applyFont="1" applyBorder="1" applyAlignment="1">
      <alignment horizontal="center" vertical="center"/>
    </xf>
    <xf numFmtId="0" fontId="221" fillId="0" borderId="11" xfId="0" applyFont="1" applyBorder="1" applyAlignment="1">
      <alignment horizontal="center" vertical="center"/>
    </xf>
    <xf numFmtId="0" fontId="114" fillId="0" borderId="4" xfId="7156" applyFont="1" applyBorder="1" applyAlignment="1">
      <alignment horizontal="center" vertical="center" wrapText="1"/>
    </xf>
    <xf numFmtId="0" fontId="123" fillId="0" borderId="4" xfId="7156" applyFont="1" applyBorder="1" applyAlignment="1">
      <alignment horizontal="left"/>
    </xf>
    <xf numFmtId="0" fontId="122" fillId="0" borderId="4" xfId="7156" applyFont="1" applyBorder="1" applyAlignment="1">
      <alignment horizontal="left" wrapText="1"/>
    </xf>
    <xf numFmtId="0" fontId="114" fillId="0" borderId="30" xfId="7156" applyFont="1" applyBorder="1" applyAlignment="1">
      <alignment horizontal="center" vertical="center" wrapText="1"/>
    </xf>
    <xf numFmtId="0" fontId="114" fillId="0" borderId="2" xfId="7156" applyFont="1" applyBorder="1" applyAlignment="1">
      <alignment horizontal="center" vertical="center" wrapText="1"/>
    </xf>
    <xf numFmtId="0" fontId="114" fillId="0" borderId="31" xfId="7156" applyFont="1" applyBorder="1" applyAlignment="1">
      <alignment horizontal="center" vertical="center" wrapText="1"/>
    </xf>
    <xf numFmtId="0" fontId="114" fillId="0" borderId="30" xfId="7156" applyFont="1" applyBorder="1" applyAlignment="1">
      <alignment horizontal="left" vertical="center" wrapText="1"/>
    </xf>
    <xf numFmtId="0" fontId="114" fillId="0" borderId="2" xfId="7156" applyFont="1" applyBorder="1" applyAlignment="1">
      <alignment horizontal="left" vertical="center" wrapText="1"/>
    </xf>
    <xf numFmtId="0" fontId="114" fillId="0" borderId="31" xfId="7156" applyFont="1" applyBorder="1" applyAlignment="1">
      <alignment horizontal="left" vertical="center" wrapText="1"/>
    </xf>
    <xf numFmtId="0" fontId="114" fillId="0" borderId="143" xfId="7156" applyFont="1" applyBorder="1" applyAlignment="1">
      <alignment horizontal="left" vertical="center" wrapText="1"/>
    </xf>
    <xf numFmtId="0" fontId="114" fillId="0" borderId="141" xfId="7156" applyFont="1" applyBorder="1" applyAlignment="1">
      <alignment horizontal="left" vertical="center" wrapText="1"/>
    </xf>
    <xf numFmtId="0" fontId="114" fillId="0" borderId="138" xfId="7156" applyFont="1" applyBorder="1" applyAlignment="1">
      <alignment horizontal="left" vertical="center" wrapText="1"/>
    </xf>
    <xf numFmtId="0" fontId="114" fillId="0" borderId="144" xfId="7156" applyFont="1" applyBorder="1" applyAlignment="1">
      <alignment horizontal="left" vertical="center" wrapText="1"/>
    </xf>
    <xf numFmtId="0" fontId="114" fillId="0" borderId="0" xfId="7156" applyFont="1" applyBorder="1" applyAlignment="1">
      <alignment horizontal="left" vertical="center" wrapText="1"/>
    </xf>
    <xf numFmtId="0" fontId="114" fillId="0" borderId="139" xfId="7156" applyFont="1" applyBorder="1" applyAlignment="1">
      <alignment horizontal="left" vertical="center" wrapText="1"/>
    </xf>
    <xf numFmtId="0" fontId="114" fillId="0" borderId="4" xfId="7156" applyFont="1" applyBorder="1" applyAlignment="1">
      <alignment vertical="center" wrapText="1"/>
    </xf>
    <xf numFmtId="0" fontId="123" fillId="0" borderId="30" xfId="7156" applyFont="1" applyBorder="1" applyAlignment="1">
      <alignment horizontal="left"/>
    </xf>
    <xf numFmtId="0" fontId="123" fillId="0" borderId="2" xfId="7156" applyFont="1" applyBorder="1" applyAlignment="1">
      <alignment horizontal="left"/>
    </xf>
    <xf numFmtId="0" fontId="123" fillId="0" borderId="31" xfId="7156" applyFont="1" applyBorder="1" applyAlignment="1">
      <alignment horizontal="left"/>
    </xf>
    <xf numFmtId="0" fontId="122" fillId="0" borderId="30" xfId="7156" applyFont="1" applyBorder="1" applyAlignment="1">
      <alignment horizontal="left" wrapText="1"/>
    </xf>
    <xf numFmtId="0" fontId="122" fillId="0" borderId="2" xfId="7156" applyFont="1" applyBorder="1" applyAlignment="1">
      <alignment horizontal="left" wrapText="1"/>
    </xf>
    <xf numFmtId="0" fontId="122" fillId="0" borderId="31" xfId="7156" applyFont="1" applyBorder="1" applyAlignment="1">
      <alignment horizontal="left" wrapText="1"/>
    </xf>
    <xf numFmtId="0" fontId="114" fillId="0" borderId="142" xfId="7156" applyFont="1" applyBorder="1" applyAlignment="1">
      <alignment horizontal="left" vertical="center" wrapText="1"/>
    </xf>
    <xf numFmtId="0" fontId="114" fillId="0" borderId="14" xfId="7156" applyFont="1" applyBorder="1" applyAlignment="1">
      <alignment horizontal="left" vertical="center" wrapText="1"/>
    </xf>
    <xf numFmtId="0" fontId="114" fillId="0" borderId="140" xfId="7156" applyFont="1" applyBorder="1" applyAlignment="1">
      <alignment horizontal="left" vertical="center" wrapText="1"/>
    </xf>
    <xf numFmtId="0" fontId="114" fillId="0" borderId="135" xfId="7156" applyFont="1" applyBorder="1" applyAlignment="1">
      <alignment horizontal="center" vertical="center" wrapText="1"/>
    </xf>
    <xf numFmtId="0" fontId="114" fillId="0" borderId="136" xfId="7156" applyFont="1" applyBorder="1" applyAlignment="1">
      <alignment horizontal="center" vertical="center" wrapText="1"/>
    </xf>
    <xf numFmtId="0" fontId="114" fillId="0" borderId="141" xfId="7156" applyFont="1" applyBorder="1" applyAlignment="1">
      <alignment horizontal="center" vertical="center" wrapText="1"/>
    </xf>
    <xf numFmtId="0" fontId="114" fillId="0" borderId="0" xfId="7156" applyFont="1" applyAlignment="1">
      <alignment horizontal="center" vertical="center" wrapText="1"/>
    </xf>
    <xf numFmtId="0" fontId="114" fillId="0" borderId="30" xfId="7156" applyFont="1" applyBorder="1" applyAlignment="1">
      <alignment vertical="center" wrapText="1"/>
    </xf>
    <xf numFmtId="0" fontId="114" fillId="0" borderId="2" xfId="7156" applyFont="1" applyBorder="1" applyAlignment="1">
      <alignment vertical="center" wrapText="1"/>
    </xf>
    <xf numFmtId="0" fontId="114" fillId="0" borderId="31" xfId="7156" applyFont="1" applyBorder="1" applyAlignment="1">
      <alignment vertical="center" wrapText="1"/>
    </xf>
    <xf numFmtId="0" fontId="114" fillId="0" borderId="137" xfId="7156" applyFont="1" applyBorder="1" applyAlignment="1">
      <alignment horizontal="center" vertical="center" wrapText="1"/>
    </xf>
    <xf numFmtId="0" fontId="123" fillId="0" borderId="14" xfId="7156" applyFont="1" applyBorder="1" applyAlignment="1">
      <alignment horizontal="left"/>
    </xf>
    <xf numFmtId="0" fontId="123" fillId="0" borderId="140" xfId="7156" applyFont="1" applyBorder="1" applyAlignment="1">
      <alignment horizontal="left"/>
    </xf>
    <xf numFmtId="0" fontId="203" fillId="0" borderId="30" xfId="7156" applyFont="1" applyBorder="1" applyAlignment="1">
      <alignment horizontal="center" vertical="center" wrapText="1"/>
    </xf>
    <xf numFmtId="0" fontId="203" fillId="0" borderId="31" xfId="7156" applyFont="1" applyBorder="1" applyAlignment="1">
      <alignment horizontal="center" vertical="center" wrapText="1"/>
    </xf>
    <xf numFmtId="0" fontId="223" fillId="0" borderId="30" xfId="7156" applyFont="1" applyBorder="1" applyAlignment="1">
      <alignment horizontal="left"/>
    </xf>
    <xf numFmtId="0" fontId="223" fillId="0" borderId="2" xfId="7156" applyFont="1" applyBorder="1" applyAlignment="1">
      <alignment horizontal="left"/>
    </xf>
    <xf numFmtId="0" fontId="223" fillId="0" borderId="31" xfId="7156" applyFont="1" applyBorder="1" applyAlignment="1">
      <alignment horizontal="left"/>
    </xf>
    <xf numFmtId="0" fontId="203" fillId="0" borderId="2" xfId="7156" applyFont="1" applyBorder="1" applyAlignment="1">
      <alignment horizontal="center" vertical="center" wrapText="1"/>
    </xf>
    <xf numFmtId="0" fontId="203" fillId="0" borderId="30" xfId="7156" applyFont="1" applyBorder="1" applyAlignment="1">
      <alignment horizontal="left" vertical="center" wrapText="1"/>
    </xf>
    <xf numFmtId="0" fontId="203" fillId="0" borderId="2" xfId="7156" applyFont="1" applyBorder="1" applyAlignment="1">
      <alignment horizontal="left" vertical="center" wrapText="1"/>
    </xf>
    <xf numFmtId="0" fontId="203" fillId="0" borderId="31" xfId="7156" applyFont="1" applyBorder="1" applyAlignment="1">
      <alignment horizontal="left" vertical="center" wrapText="1"/>
    </xf>
    <xf numFmtId="0" fontId="203" fillId="0" borderId="143" xfId="7156" applyFont="1" applyBorder="1" applyAlignment="1">
      <alignment horizontal="left" vertical="center" wrapText="1"/>
    </xf>
    <xf numFmtId="0" fontId="203" fillId="0" borderId="141" xfId="7156" applyFont="1" applyBorder="1" applyAlignment="1">
      <alignment horizontal="left" vertical="center" wrapText="1"/>
    </xf>
    <xf numFmtId="0" fontId="203" fillId="0" borderId="138" xfId="7156" applyFont="1" applyBorder="1" applyAlignment="1">
      <alignment horizontal="left" vertical="center" wrapText="1"/>
    </xf>
    <xf numFmtId="0" fontId="203" fillId="0" borderId="142" xfId="7156" applyFont="1" applyBorder="1" applyAlignment="1">
      <alignment horizontal="left" vertical="center" wrapText="1"/>
    </xf>
    <xf numFmtId="0" fontId="203" fillId="0" borderId="14" xfId="7156" applyFont="1" applyBorder="1" applyAlignment="1">
      <alignment horizontal="left" vertical="center" wrapText="1"/>
    </xf>
    <xf numFmtId="0" fontId="203" fillId="0" borderId="140" xfId="7156" applyFont="1" applyBorder="1" applyAlignment="1">
      <alignment horizontal="left" vertical="center" wrapText="1"/>
    </xf>
    <xf numFmtId="0" fontId="203" fillId="0" borderId="135" xfId="7156" applyFont="1" applyBorder="1" applyAlignment="1">
      <alignment horizontal="center" vertical="center" wrapText="1"/>
    </xf>
    <xf numFmtId="0" fontId="203" fillId="0" borderId="136" xfId="7156" applyFont="1" applyBorder="1" applyAlignment="1">
      <alignment horizontal="center" vertical="center" wrapText="1"/>
    </xf>
    <xf numFmtId="0" fontId="203" fillId="0" borderId="141" xfId="7156" applyFont="1" applyBorder="1" applyAlignment="1">
      <alignment horizontal="center" vertical="center" wrapText="1"/>
    </xf>
    <xf numFmtId="0" fontId="203" fillId="0" borderId="0" xfId="7156" applyFont="1" applyAlignment="1">
      <alignment horizontal="center" vertical="center" wrapText="1"/>
    </xf>
    <xf numFmtId="0" fontId="203" fillId="0" borderId="30" xfId="7156" applyFont="1" applyBorder="1" applyAlignment="1">
      <alignment vertical="center" wrapText="1"/>
    </xf>
    <xf numFmtId="0" fontId="203" fillId="0" borderId="2" xfId="7156" applyFont="1" applyBorder="1" applyAlignment="1">
      <alignment vertical="center" wrapText="1"/>
    </xf>
    <xf numFmtId="0" fontId="203" fillId="0" borderId="31" xfId="7156" applyFont="1" applyBorder="1" applyAlignment="1">
      <alignment vertical="center" wrapText="1"/>
    </xf>
    <xf numFmtId="0" fontId="203" fillId="0" borderId="137" xfId="7156" applyFont="1" applyBorder="1" applyAlignment="1">
      <alignment horizontal="center" vertical="center" wrapText="1"/>
    </xf>
    <xf numFmtId="0" fontId="221" fillId="0" borderId="0" xfId="503" applyFont="1" applyBorder="1" applyAlignment="1">
      <alignment horizontal="center" vertical="top"/>
    </xf>
    <xf numFmtId="0" fontId="221" fillId="0" borderId="0" xfId="0" applyFont="1" applyAlignment="1">
      <alignment wrapText="1"/>
    </xf>
    <xf numFmtId="0" fontId="126" fillId="0" borderId="4" xfId="0" applyFont="1" applyBorder="1" applyAlignment="1">
      <alignment horizontal="center" vertical="center" wrapText="1"/>
    </xf>
    <xf numFmtId="0" fontId="221" fillId="0" borderId="0" xfId="503" applyFont="1" applyFill="1" applyBorder="1" applyAlignment="1">
      <alignment horizontal="center" vertical="top"/>
    </xf>
    <xf numFmtId="0" fontId="221" fillId="0" borderId="0" xfId="0" applyFont="1" applyFill="1" applyAlignment="1">
      <alignment horizontal="center" vertical="center"/>
    </xf>
    <xf numFmtId="0" fontId="221" fillId="0" borderId="0" xfId="0" applyFont="1" applyFill="1" applyAlignment="1">
      <alignment vertical="center"/>
    </xf>
    <xf numFmtId="0" fontId="221" fillId="0" borderId="0" xfId="0" applyFont="1" applyFill="1" applyAlignment="1">
      <alignment horizontal="left" vertical="center"/>
    </xf>
    <xf numFmtId="0" fontId="221" fillId="0" borderId="0" xfId="0" applyFont="1" applyFill="1" applyAlignment="1">
      <alignment horizontal="right" vertical="center" wrapText="1"/>
    </xf>
    <xf numFmtId="0" fontId="221" fillId="0" borderId="10" xfId="0" applyFont="1" applyFill="1" applyBorder="1" applyAlignment="1">
      <alignment horizontal="center" vertical="center"/>
    </xf>
    <xf numFmtId="0" fontId="221" fillId="0" borderId="134" xfId="0" applyFont="1" applyFill="1" applyBorder="1" applyAlignment="1">
      <alignment horizontal="center" vertical="center"/>
    </xf>
    <xf numFmtId="0" fontId="221" fillId="0" borderId="20" xfId="0" applyFont="1" applyFill="1" applyBorder="1" applyAlignment="1">
      <alignment horizontal="center" vertical="center"/>
    </xf>
    <xf numFmtId="0" fontId="117" fillId="0" borderId="0" xfId="503" applyFont="1" applyFill="1" applyBorder="1" applyAlignment="1">
      <alignment horizontal="center" vertical="center"/>
    </xf>
    <xf numFmtId="0" fontId="117" fillId="0" borderId="0" xfId="0" applyFont="1" applyFill="1" applyBorder="1" applyAlignment="1">
      <alignment horizontal="left" vertical="center"/>
    </xf>
    <xf numFmtId="0" fontId="114" fillId="0" borderId="4" xfId="0" applyFont="1" applyFill="1" applyBorder="1" applyAlignment="1">
      <alignment horizontal="center" vertical="center" wrapText="1"/>
    </xf>
    <xf numFmtId="0" fontId="117" fillId="0" borderId="4" xfId="0" applyFont="1" applyFill="1" applyBorder="1" applyAlignment="1">
      <alignment horizontal="center" vertical="center"/>
    </xf>
    <xf numFmtId="0" fontId="117" fillId="0" borderId="10" xfId="0" applyFont="1" applyFill="1" applyBorder="1" applyAlignment="1">
      <alignment horizontal="left" vertical="center"/>
    </xf>
    <xf numFmtId="0" fontId="117" fillId="0" borderId="134" xfId="0" applyFont="1" applyFill="1" applyBorder="1" applyAlignment="1">
      <alignment horizontal="left" vertical="center"/>
    </xf>
    <xf numFmtId="0" fontId="117" fillId="0" borderId="20" xfId="0" applyFont="1" applyFill="1" applyBorder="1" applyAlignment="1">
      <alignment horizontal="left" vertical="center"/>
    </xf>
    <xf numFmtId="0" fontId="123" fillId="0" borderId="10" xfId="0" applyFont="1" applyFill="1" applyBorder="1" applyAlignment="1">
      <alignment horizontal="left" vertical="center"/>
    </xf>
    <xf numFmtId="0" fontId="123" fillId="0" borderId="134" xfId="0" applyFont="1" applyFill="1" applyBorder="1" applyAlignment="1">
      <alignment horizontal="left" vertical="center"/>
    </xf>
    <xf numFmtId="0" fontId="123" fillId="0" borderId="20" xfId="0" applyFont="1" applyFill="1" applyBorder="1" applyAlignment="1">
      <alignment horizontal="left" vertical="center"/>
    </xf>
    <xf numFmtId="0" fontId="123" fillId="0" borderId="10" xfId="0" applyFont="1" applyFill="1" applyBorder="1" applyAlignment="1">
      <alignment horizontal="left" vertical="center" wrapText="1"/>
    </xf>
    <xf numFmtId="0" fontId="123" fillId="0" borderId="134" xfId="0" applyFont="1" applyFill="1" applyBorder="1" applyAlignment="1">
      <alignment horizontal="left" vertical="center" wrapText="1"/>
    </xf>
    <xf numFmtId="0" fontId="123" fillId="0" borderId="20" xfId="0" applyFont="1" applyFill="1" applyBorder="1" applyAlignment="1">
      <alignment horizontal="left" vertical="center" wrapText="1"/>
    </xf>
    <xf numFmtId="0" fontId="126" fillId="0" borderId="10" xfId="0" applyFont="1" applyBorder="1" applyAlignment="1">
      <alignment horizontal="center"/>
    </xf>
    <xf numFmtId="0" fontId="126" fillId="0" borderId="20" xfId="0" applyFont="1" applyBorder="1" applyAlignment="1">
      <alignment horizontal="center"/>
    </xf>
    <xf numFmtId="0" fontId="155" fillId="0" borderId="0" xfId="503" applyFont="1" applyBorder="1" applyAlignment="1">
      <alignment horizontal="center" vertical="top"/>
    </xf>
    <xf numFmtId="0" fontId="153" fillId="9" borderId="10" xfId="0" applyFont="1" applyFill="1" applyBorder="1" applyAlignment="1">
      <alignment horizontal="center"/>
    </xf>
    <xf numFmtId="0" fontId="153" fillId="9" borderId="134" xfId="0" applyFont="1" applyFill="1" applyBorder="1" applyAlignment="1">
      <alignment horizontal="center"/>
    </xf>
    <xf numFmtId="0" fontId="153" fillId="9" borderId="20" xfId="0" applyFont="1" applyFill="1" applyBorder="1" applyAlignment="1">
      <alignment horizontal="center"/>
    </xf>
    <xf numFmtId="0" fontId="153" fillId="9" borderId="4" xfId="0" applyFont="1" applyFill="1" applyBorder="1" applyAlignment="1">
      <alignment horizontal="center"/>
    </xf>
    <xf numFmtId="0" fontId="153" fillId="9" borderId="4" xfId="0" applyFont="1" applyFill="1" applyBorder="1" applyAlignment="1">
      <alignment horizontal="center" vertical="center" wrapText="1"/>
    </xf>
    <xf numFmtId="0" fontId="150" fillId="9" borderId="0" xfId="0" applyFont="1" applyFill="1" applyBorder="1" applyAlignment="1">
      <alignment horizontal="left"/>
    </xf>
    <xf numFmtId="0" fontId="150" fillId="9" borderId="0" xfId="0" applyFont="1" applyFill="1" applyBorder="1" applyAlignment="1">
      <alignment horizontal="left" vertical="top"/>
    </xf>
    <xf numFmtId="0" fontId="153" fillId="0" borderId="4" xfId="0" applyFont="1" applyBorder="1" applyAlignment="1">
      <alignment horizontal="center" vertical="center" wrapText="1"/>
    </xf>
    <xf numFmtId="0" fontId="153" fillId="9" borderId="4" xfId="0" applyFont="1" applyFill="1" applyBorder="1" applyAlignment="1">
      <alignment vertical="center"/>
    </xf>
    <xf numFmtId="0" fontId="220" fillId="71" borderId="158" xfId="0" applyFont="1" applyFill="1" applyBorder="1" applyAlignment="1">
      <alignment horizontal="left" vertical="top" wrapText="1"/>
    </xf>
    <xf numFmtId="0" fontId="225" fillId="0" borderId="0" xfId="0" applyFont="1" applyAlignment="1">
      <alignment horizontal="center" vertical="top" wrapText="1"/>
    </xf>
    <xf numFmtId="0" fontId="225" fillId="0" borderId="0" xfId="0" applyFont="1" applyBorder="1" applyAlignment="1">
      <alignment horizontal="left" vertical="top" wrapText="1"/>
    </xf>
    <xf numFmtId="0" fontId="122" fillId="0" borderId="0" xfId="0" applyFont="1" applyBorder="1" applyAlignment="1">
      <alignment horizontal="left" vertical="top" wrapText="1" indent="3"/>
    </xf>
    <xf numFmtId="0" fontId="220" fillId="71" borderId="4" xfId="0" applyFont="1" applyFill="1" applyBorder="1" applyAlignment="1">
      <alignment horizontal="left" vertical="top" wrapText="1"/>
    </xf>
    <xf numFmtId="0" fontId="155" fillId="0" borderId="0" xfId="503" applyFont="1" applyFill="1" applyAlignment="1">
      <alignment horizontal="center"/>
    </xf>
    <xf numFmtId="0" fontId="158" fillId="0" borderId="0" xfId="503" applyFont="1" applyFill="1" applyAlignment="1">
      <alignment horizontal="left" vertical="top"/>
    </xf>
    <xf numFmtId="0" fontId="149" fillId="0" borderId="10" xfId="503" applyFont="1" applyFill="1" applyBorder="1" applyAlignment="1">
      <alignment horizontal="left" vertical="center" wrapText="1"/>
    </xf>
    <xf numFmtId="0" fontId="149" fillId="0" borderId="134" xfId="503" applyFont="1" applyFill="1" applyBorder="1" applyAlignment="1">
      <alignment horizontal="left" vertical="center" wrapText="1"/>
    </xf>
    <xf numFmtId="0" fontId="149" fillId="0" borderId="20" xfId="503" applyFont="1" applyFill="1" applyBorder="1" applyAlignment="1">
      <alignment horizontal="left" vertical="center" wrapText="1"/>
    </xf>
    <xf numFmtId="0" fontId="155" fillId="0" borderId="0" xfId="503" applyFont="1" applyFill="1" applyBorder="1" applyAlignment="1">
      <alignment horizontal="center" vertical="top"/>
    </xf>
    <xf numFmtId="0" fontId="117" fillId="0" borderId="0" xfId="0" applyFont="1" applyFill="1" applyAlignment="1">
      <alignment horizontal="center"/>
    </xf>
    <xf numFmtId="0" fontId="228" fillId="0" borderId="10" xfId="0" applyFont="1" applyBorder="1" applyAlignment="1">
      <alignment horizontal="center" vertical="center" wrapText="1"/>
    </xf>
    <xf numFmtId="0" fontId="228" fillId="0" borderId="134" xfId="0" applyFont="1" applyBorder="1" applyAlignment="1">
      <alignment horizontal="center" vertical="center" wrapText="1"/>
    </xf>
    <xf numFmtId="0" fontId="228" fillId="0" borderId="20" xfId="0" applyFont="1" applyBorder="1" applyAlignment="1">
      <alignment horizontal="center" vertical="center" wrapText="1"/>
    </xf>
    <xf numFmtId="0" fontId="174" fillId="9" borderId="10" xfId="0" applyFont="1" applyFill="1" applyBorder="1" applyAlignment="1">
      <alignment horizontal="center" vertical="center" wrapText="1"/>
    </xf>
    <xf numFmtId="0" fontId="174" fillId="9" borderId="134" xfId="0" applyFont="1" applyFill="1" applyBorder="1" applyAlignment="1">
      <alignment horizontal="center" vertical="center" wrapText="1"/>
    </xf>
    <xf numFmtId="0" fontId="174" fillId="9" borderId="20" xfId="0" applyFont="1" applyFill="1" applyBorder="1" applyAlignment="1">
      <alignment horizontal="center" vertical="center" wrapText="1"/>
    </xf>
    <xf numFmtId="0" fontId="173" fillId="0" borderId="4" xfId="0" applyFont="1" applyBorder="1" applyAlignment="1">
      <alignment horizontal="center" vertical="center" wrapText="1"/>
    </xf>
    <xf numFmtId="0" fontId="174" fillId="0" borderId="10" xfId="0" applyFont="1" applyBorder="1" applyAlignment="1">
      <alignment horizontal="center" vertical="center" wrapText="1"/>
    </xf>
    <xf numFmtId="0" fontId="174" fillId="0" borderId="134" xfId="0" applyFont="1" applyBorder="1" applyAlignment="1">
      <alignment horizontal="center" vertical="center" wrapText="1"/>
    </xf>
    <xf numFmtId="0" fontId="174" fillId="0" borderId="20" xfId="0" applyFont="1" applyBorder="1" applyAlignment="1">
      <alignment horizontal="center" vertical="center" wrapText="1"/>
    </xf>
    <xf numFmtId="0" fontId="234" fillId="0" borderId="10" xfId="0" applyFont="1" applyBorder="1" applyAlignment="1">
      <alignment horizontal="center" vertical="center"/>
    </xf>
    <xf numFmtId="0" fontId="234" fillId="0" borderId="134" xfId="0" applyFont="1" applyBorder="1" applyAlignment="1">
      <alignment horizontal="center" vertical="center"/>
    </xf>
    <xf numFmtId="0" fontId="10" fillId="0" borderId="0" xfId="0" applyFont="1" applyAlignment="1">
      <alignment horizontal="center"/>
    </xf>
    <xf numFmtId="0" fontId="155" fillId="0" borderId="0" xfId="0" applyFont="1" applyAlignment="1">
      <alignment horizontal="center"/>
    </xf>
    <xf numFmtId="0" fontId="0" fillId="0" borderId="0" xfId="0" applyAlignment="1">
      <alignment horizontal="center"/>
    </xf>
    <xf numFmtId="0" fontId="228" fillId="0" borderId="0" xfId="0" applyFont="1" applyAlignment="1">
      <alignment horizontal="center" vertical="center" wrapText="1"/>
    </xf>
    <xf numFmtId="0" fontId="228" fillId="0" borderId="4" xfId="0" applyFont="1" applyBorder="1" applyAlignment="1">
      <alignment horizontal="center" vertical="center" wrapText="1"/>
    </xf>
    <xf numFmtId="0" fontId="12" fillId="0" borderId="0" xfId="0" applyFont="1" applyBorder="1" applyAlignment="1">
      <alignment horizontal="left"/>
    </xf>
    <xf numFmtId="0" fontId="9" fillId="0" borderId="10" xfId="0" applyFont="1" applyBorder="1" applyAlignment="1">
      <alignment horizontal="center" vertical="center"/>
    </xf>
    <xf numFmtId="0" fontId="9" fillId="0" borderId="134" xfId="0" applyFont="1" applyBorder="1" applyAlignment="1">
      <alignment horizontal="center" vertical="center"/>
    </xf>
    <xf numFmtId="0" fontId="13" fillId="0" borderId="4" xfId="17" applyFont="1" applyFill="1" applyBorder="1" applyAlignment="1">
      <alignment horizontal="center" vertical="center"/>
    </xf>
  </cellXfs>
  <cellStyles count="7160">
    <cellStyle name="." xfId="81"/>
    <cellStyle name="??" xfId="82"/>
    <cellStyle name="?? [0.00]_PRODUCT DETAIL Q1" xfId="83"/>
    <cellStyle name="?? [0]" xfId="84"/>
    <cellStyle name="???? [0.00]_PRODUCT DETAIL Q1" xfId="85"/>
    <cellStyle name="????_PRODUCT DETAIL Q1" xfId="86"/>
    <cellStyle name="???[0]_ÿÿÿÿÿ" xfId="87"/>
    <cellStyle name="???_95" xfId="88"/>
    <cellStyle name="??_(????)??????" xfId="89"/>
    <cellStyle name="_asia pacific Global P  Ls (3)" xfId="90"/>
    <cellStyle name="_China - Segementwise P&amp;L July'07" xfId="91"/>
    <cellStyle name="_China asia pacific Global P - June07" xfId="92"/>
    <cellStyle name="_Format - Top15 Products" xfId="93"/>
    <cellStyle name="_G_CSF schedule_Sept'08" xfId="94"/>
    <cellStyle name="_G_CSF schedule_Sept'08_RLL_SEBI_One pager_Mar 2010" xfId="95"/>
    <cellStyle name="_G_CSF schedule_Sept'08_RLL_SEBI_One pager_Mar 2010_RLL Standalone results 10 August 2010 - Final" xfId="96"/>
    <cellStyle name="_G_CSF schedule_Sept'08_SEBI_Standalone_Sep 30 2009 (4)" xfId="97"/>
    <cellStyle name="_G_CSF schedule_Sept'08_SEBI_Standalone_Sep 30 2009 (4)_RLL Standalone results 10 August 2010 - Final" xfId="98"/>
    <cellStyle name="_Malaysia - Top Products WC - QIII QIV'07" xfId="99"/>
    <cellStyle name="_Malaysia - Top Products WC - QIII QIV'07_RLL Standalone results 10 August 2010 - Final" xfId="100"/>
    <cellStyle name="_Myanmar - Top 15 &amp; new products QIII QIV'07" xfId="101"/>
    <cellStyle name="_Myanmar - Top 15 &amp; new products QIII QIV'07_RLL Standalone results 10 August 2010 - Final" xfId="102"/>
    <cellStyle name="_QII Formats_07" xfId="103"/>
    <cellStyle name="_QII Formats_07_RLL Standalone results 10 August 2010 - Final" xfId="104"/>
    <cellStyle name="_Tax on fixed assets_1-12'08" xfId="105"/>
    <cellStyle name="_Tax on Fixed Assets_1-9'08" xfId="106"/>
    <cellStyle name="_Thailand - Top 15 &amp; new products QIII QIV'07" xfId="107"/>
    <cellStyle name="_Thailand - Top 15 &amp; new products QIII QIV'07_RLL Standalone results 10 August 2010 - Final" xfId="108"/>
    <cellStyle name="_Ukraine -Products &amp; WC LE Q3_Q4" xfId="109"/>
    <cellStyle name="_Ukraine -Products &amp; WC LE Q3_Q4_RLL Standalone results 10 August 2010 - Final" xfId="110"/>
    <cellStyle name="_Vietnam - Top Products &amp; WC - QIII QIV'07" xfId="111"/>
    <cellStyle name="_Vietnam - Top Products &amp; WC - QIII QIV'07_RLL Standalone results 10 August 2010 - Final" xfId="112"/>
    <cellStyle name="_Working Capital Prj" xfId="113"/>
    <cellStyle name="_Working Capital Prj_RLL Standalone results 10 August 2010 - Final" xfId="114"/>
    <cellStyle name="_Workingfile01" xfId="115"/>
    <cellStyle name="_Workingfile01_RLL Standalone results 10 August 2010 - Final" xfId="116"/>
    <cellStyle name="+27.577+36" xfId="117"/>
    <cellStyle name="=C:\WINNT\SYSTEM32\COMMAND.COM" xfId="118"/>
    <cellStyle name="1" xfId="119"/>
    <cellStyle name="2" xfId="120"/>
    <cellStyle name="20% - Accent1 2" xfId="340"/>
    <cellStyle name="20% - Accent2 2" xfId="341"/>
    <cellStyle name="20% - Accent3 2" xfId="342"/>
    <cellStyle name="20% - Accent4 2" xfId="343"/>
    <cellStyle name="20% - Accent5 2" xfId="344"/>
    <cellStyle name="20% - Accent6 2" xfId="345"/>
    <cellStyle name="3" xfId="121"/>
    <cellStyle name="4" xfId="122"/>
    <cellStyle name="40% - Accent1 2" xfId="346"/>
    <cellStyle name="40% - Accent2 2" xfId="347"/>
    <cellStyle name="40% - Accent3 2" xfId="348"/>
    <cellStyle name="40% - Accent4 2" xfId="349"/>
    <cellStyle name="40% - Accent5 2" xfId="350"/>
    <cellStyle name="40% - Accent6 2" xfId="351"/>
    <cellStyle name="60% - Accent1 2" xfId="352"/>
    <cellStyle name="60% - Accent2 2" xfId="353"/>
    <cellStyle name="60% - Accent3 2" xfId="354"/>
    <cellStyle name="60% - Accent4 2" xfId="355"/>
    <cellStyle name="60% - Accent5 2" xfId="356"/>
    <cellStyle name="60% - Accent6 2" xfId="357"/>
    <cellStyle name="Accent1 2" xfId="358"/>
    <cellStyle name="Accent2 2" xfId="359"/>
    <cellStyle name="Accent3 2" xfId="360"/>
    <cellStyle name="Accent4 2" xfId="361"/>
    <cellStyle name="Accent5 2" xfId="362"/>
    <cellStyle name="Accent6 2" xfId="363"/>
    <cellStyle name="ÅëÈ­ [0]_¿ì¹°Åë" xfId="123"/>
    <cellStyle name="AeE­ [0]_INQUIRY ¿µ¾÷AßAø " xfId="124"/>
    <cellStyle name="ÅëÈ­_¿ì¹°Åë" xfId="125"/>
    <cellStyle name="AeE­_INQUIRY ¿µ¾÷AßAø " xfId="126"/>
    <cellStyle name="ÄÞ¸¶ [0]_¿ì¹°Åë" xfId="127"/>
    <cellStyle name="AÞ¸¶ [0]_INQUIRY ¿?¾÷AßAø " xfId="128"/>
    <cellStyle name="ÄÞ¸¶_¿ì¹°Åë" xfId="129"/>
    <cellStyle name="AÞ¸¶_INQUIRY ¿?¾÷AßAø " xfId="130"/>
    <cellStyle name="Bad 2" xfId="364"/>
    <cellStyle name="Body" xfId="2"/>
    <cellStyle name="Border" xfId="131"/>
    <cellStyle name="Border 2" xfId="971"/>
    <cellStyle name="Border 3" xfId="1106"/>
    <cellStyle name="Border 3 2" xfId="2993"/>
    <cellStyle name="Border 3 3" xfId="4414"/>
    <cellStyle name="Border 4" xfId="1184"/>
    <cellStyle name="Border 4 2" xfId="3039"/>
    <cellStyle name="Border 4 3" xfId="4470"/>
    <cellStyle name="Border 5" xfId="1148"/>
    <cellStyle name="Border 5 2" xfId="3017"/>
    <cellStyle name="Border 6" xfId="447"/>
    <cellStyle name="Border 6 2" xfId="2777"/>
    <cellStyle name="Border 6 3" xfId="4316"/>
    <cellStyle name="Border 7" xfId="1869"/>
    <cellStyle name="Border 7 2" xfId="3529"/>
    <cellStyle name="Border 7 3" xfId="4926"/>
    <cellStyle name="Border 8" xfId="2086"/>
    <cellStyle name="Border 8 2" xfId="3730"/>
    <cellStyle name="Border 8 3" xfId="5133"/>
    <cellStyle name="Border 9" xfId="2727"/>
    <cellStyle name="C?AØ_¿?¾÷CoE² " xfId="132"/>
    <cellStyle name="Ç¥ÁØ_´çÃÊ±¸ÀÔ»ý»ê" xfId="133"/>
    <cellStyle name="C￥AØ_¿μ¾÷CoE² " xfId="134"/>
    <cellStyle name="Calc Currency (0)" xfId="135"/>
    <cellStyle name="Calc Currency (2)" xfId="136"/>
    <cellStyle name="Calc Percent (0)" xfId="137"/>
    <cellStyle name="Calc Percent (1)" xfId="138"/>
    <cellStyle name="Calc Percent (2)" xfId="139"/>
    <cellStyle name="Calc Units (0)" xfId="140"/>
    <cellStyle name="Calc Units (1)" xfId="141"/>
    <cellStyle name="Calc Units (2)" xfId="142"/>
    <cellStyle name="Calculation 2" xfId="365"/>
    <cellStyle name="Calculation 2 2" xfId="934"/>
    <cellStyle name="Calculation 2 2 2" xfId="1684"/>
    <cellStyle name="Calculation 2 2 2 2" xfId="3360"/>
    <cellStyle name="Calculation 2 2 2 2 2" xfId="6330"/>
    <cellStyle name="Calculation 2 2 2 3" xfId="4800"/>
    <cellStyle name="Calculation 2 2 3" xfId="1911"/>
    <cellStyle name="Calculation 2 2 3 2" xfId="3565"/>
    <cellStyle name="Calculation 2 2 3 2 2" xfId="6531"/>
    <cellStyle name="Calculation 2 2 3 3" xfId="4965"/>
    <cellStyle name="Calculation 2 2 4" xfId="2129"/>
    <cellStyle name="Calculation 2 2 4 2" xfId="3767"/>
    <cellStyle name="Calculation 2 2 4 2 2" xfId="6728"/>
    <cellStyle name="Calculation 2 2 4 3" xfId="5173"/>
    <cellStyle name="Calculation 2 2 5" xfId="2342"/>
    <cellStyle name="Calculation 2 2 5 2" xfId="3967"/>
    <cellStyle name="Calculation 2 2 5 2 2" xfId="6923"/>
    <cellStyle name="Calculation 2 2 5 3" xfId="5375"/>
    <cellStyle name="Calculation 2 2 6" xfId="2547"/>
    <cellStyle name="Calculation 2 2 6 2" xfId="5574"/>
    <cellStyle name="Calculation 2 2 7" xfId="2843"/>
    <cellStyle name="Calculation 2 2 7 2" xfId="5830"/>
    <cellStyle name="Calculation 2 3" xfId="1381"/>
    <cellStyle name="Calculation 2 3 2" xfId="3113"/>
    <cellStyle name="Calculation 2 3 2 2" xfId="6089"/>
    <cellStyle name="Calculation 2 4" xfId="1292"/>
    <cellStyle name="Calculation 2 4 2" xfId="3094"/>
    <cellStyle name="Calculation 2 4 2 2" xfId="6071"/>
    <cellStyle name="Calculation 2 5" xfId="1356"/>
    <cellStyle name="Calculation 2 5 2" xfId="3097"/>
    <cellStyle name="Calculation 2 5 2 2" xfId="6074"/>
    <cellStyle name="Calculation 2 5 3" xfId="4558"/>
    <cellStyle name="Calculation 2 6" xfId="1931"/>
    <cellStyle name="Calculation 2 6 2" xfId="3585"/>
    <cellStyle name="Calculation 2 6 2 2" xfId="6551"/>
    <cellStyle name="Calculation 2 6 3" xfId="4985"/>
    <cellStyle name="Calculation 2 7" xfId="2091"/>
    <cellStyle name="Calculation 2 7 2" xfId="3733"/>
    <cellStyle name="Calculation 2 7 2 2" xfId="6695"/>
    <cellStyle name="Calculation 2 7 3" xfId="5138"/>
    <cellStyle name="Calculation 2 8" xfId="2773"/>
    <cellStyle name="Calculation 2 8 2" xfId="5762"/>
    <cellStyle name="category" xfId="143"/>
    <cellStyle name="Check Cell 2" xfId="366"/>
    <cellStyle name="CHUONG" xfId="144"/>
    <cellStyle name="Comma" xfId="72" builtinId="3"/>
    <cellStyle name="Comma  - Style1" xfId="4"/>
    <cellStyle name="Comma [0] 2" xfId="367"/>
    <cellStyle name="Comma [0] 2 2" xfId="4251"/>
    <cellStyle name="Comma [00]" xfId="145"/>
    <cellStyle name="Comma 10" xfId="35"/>
    <cellStyle name="Comma 10 10" xfId="1483"/>
    <cellStyle name="Comma 10 10 2" xfId="4638"/>
    <cellStyle name="Comma 10 11" xfId="1293"/>
    <cellStyle name="Comma 10 11 2" xfId="4545"/>
    <cellStyle name="Comma 10 12" xfId="2692"/>
    <cellStyle name="Comma 10 12 2" xfId="5709"/>
    <cellStyle name="Comma 10 13" xfId="4223"/>
    <cellStyle name="Comma 10 2" xfId="80"/>
    <cellStyle name="Comma 10 2 2" xfId="861"/>
    <cellStyle name="Comma 10 2 2 2" xfId="885"/>
    <cellStyle name="Comma 10 2 2 2 2" xfId="4330"/>
    <cellStyle name="Comma 10 2 2 3" xfId="1493"/>
    <cellStyle name="Comma 10 2 2 3 2" xfId="4647"/>
    <cellStyle name="Comma 10 2 2 4" xfId="495"/>
    <cellStyle name="Comma 10 2 2 4 2" xfId="4319"/>
    <cellStyle name="Comma 10 2 2 5" xfId="1872"/>
    <cellStyle name="Comma 10 2 2 5 2" xfId="4929"/>
    <cellStyle name="Comma 10 2 2 6" xfId="2089"/>
    <cellStyle name="Comma 10 2 2 6 2" xfId="5136"/>
    <cellStyle name="Comma 10 2 2 7" xfId="2303"/>
    <cellStyle name="Comma 10 2 2 7 2" xfId="5339"/>
    <cellStyle name="Comma 10 2 2 8" xfId="2509"/>
    <cellStyle name="Comma 10 2 2 8 2" xfId="5539"/>
    <cellStyle name="Comma 10 2 2 9" xfId="4324"/>
    <cellStyle name="Comma 10 2 3" xfId="1474"/>
    <cellStyle name="Comma 10 2 3 2" xfId="4635"/>
    <cellStyle name="Comma 10 2 4" xfId="1091"/>
    <cellStyle name="Comma 10 2 4 2" xfId="4401"/>
    <cellStyle name="Comma 10 2 5" xfId="1856"/>
    <cellStyle name="Comma 10 2 5 2" xfId="4914"/>
    <cellStyle name="Comma 10 2 6" xfId="2073"/>
    <cellStyle name="Comma 10 2 6 2" xfId="5121"/>
    <cellStyle name="Comma 10 2 7" xfId="2289"/>
    <cellStyle name="Comma 10 2 7 2" xfId="5326"/>
    <cellStyle name="Comma 10 2 8" xfId="2498"/>
    <cellStyle name="Comma 10 2 8 2" xfId="5528"/>
    <cellStyle name="Comma 10 2 9" xfId="4236"/>
    <cellStyle name="Comma 10 3" xfId="878"/>
    <cellStyle name="Comma 10 3 2" xfId="4327"/>
    <cellStyle name="Comma 10 4" xfId="886"/>
    <cellStyle name="Comma 10 4 2" xfId="4331"/>
    <cellStyle name="Comma 10 5" xfId="960"/>
    <cellStyle name="Comma 10 5 2" xfId="4380"/>
    <cellStyle name="Comma 10 6" xfId="574"/>
    <cellStyle name="Comma 10 6 2" xfId="4320"/>
    <cellStyle name="Comma 10 7" xfId="1205"/>
    <cellStyle name="Comma 10 7 2" xfId="4483"/>
    <cellStyle name="Comma 10 8" xfId="1452"/>
    <cellStyle name="Comma 10 8 2" xfId="4628"/>
    <cellStyle name="Comma 10 9" xfId="1124"/>
    <cellStyle name="Comma 10 9 2" xfId="4428"/>
    <cellStyle name="Comma 10_Notes" xfId="368"/>
    <cellStyle name="Comma 11" xfId="38"/>
    <cellStyle name="Comma 11 10" xfId="4224"/>
    <cellStyle name="Comma 11 2" xfId="887"/>
    <cellStyle name="Comma 11 2 2" xfId="4332"/>
    <cellStyle name="Comma 11 3" xfId="1494"/>
    <cellStyle name="Comma 11 3 2" xfId="4648"/>
    <cellStyle name="Comma 11 4" xfId="1645"/>
    <cellStyle name="Comma 11 4 2" xfId="4765"/>
    <cellStyle name="Comma 11 5" xfId="1873"/>
    <cellStyle name="Comma 11 5 2" xfId="4930"/>
    <cellStyle name="Comma 11 6" xfId="2090"/>
    <cellStyle name="Comma 11 6 2" xfId="5137"/>
    <cellStyle name="Comma 11 7" xfId="2304"/>
    <cellStyle name="Comma 11 7 2" xfId="5340"/>
    <cellStyle name="Comma 11 8" xfId="2510"/>
    <cellStyle name="Comma 11 8 2" xfId="5540"/>
    <cellStyle name="Comma 11 9" xfId="2695"/>
    <cellStyle name="Comma 11 9 2" xfId="5710"/>
    <cellStyle name="Comma 12" xfId="31"/>
    <cellStyle name="Comma 12 2" xfId="2688"/>
    <cellStyle name="Comma 12 2 2" xfId="5707"/>
    <cellStyle name="Comma 12 3" xfId="4221"/>
    <cellStyle name="Comma 13" xfId="43"/>
    <cellStyle name="Comma 13 2" xfId="2700"/>
    <cellStyle name="Comma 13 2 2" xfId="5711"/>
    <cellStyle name="Comma 13 3" xfId="4225"/>
    <cellStyle name="Comma 14" xfId="46"/>
    <cellStyle name="Comma 14 2" xfId="2703"/>
    <cellStyle name="Comma 14 2 2" xfId="5712"/>
    <cellStyle name="Comma 14 3" xfId="4226"/>
    <cellStyle name="Comma 15" xfId="49"/>
    <cellStyle name="Comma 15 2" xfId="2706"/>
    <cellStyle name="Comma 15 2 2" xfId="5713"/>
    <cellStyle name="Comma 15 3" xfId="4227"/>
    <cellStyle name="Comma 16" xfId="52"/>
    <cellStyle name="Comma 16 2" xfId="2709"/>
    <cellStyle name="Comma 16 2 2" xfId="5714"/>
    <cellStyle name="Comma 16 3" xfId="4228"/>
    <cellStyle name="Comma 17" xfId="4210"/>
    <cellStyle name="Comma 17 2" xfId="7151"/>
    <cellStyle name="Comma 18" xfId="4213"/>
    <cellStyle name="Comma 18 2" xfId="7152"/>
    <cellStyle name="Comma 19" xfId="4232"/>
    <cellStyle name="Comma 2" xfId="5"/>
    <cellStyle name="Comma 2 10" xfId="369"/>
    <cellStyle name="Comma 2 10 2" xfId="4252"/>
    <cellStyle name="Comma 2 11" xfId="370"/>
    <cellStyle name="Comma 2 11 2" xfId="4253"/>
    <cellStyle name="Comma 2 12" xfId="371"/>
    <cellStyle name="Comma 2 12 2" xfId="4254"/>
    <cellStyle name="Comma 2 13" xfId="372"/>
    <cellStyle name="Comma 2 13 2" xfId="4255"/>
    <cellStyle name="Comma 2 14" xfId="373"/>
    <cellStyle name="Comma 2 14 2" xfId="4256"/>
    <cellStyle name="Comma 2 15" xfId="374"/>
    <cellStyle name="Comma 2 15 2" xfId="4257"/>
    <cellStyle name="Comma 2 16" xfId="375"/>
    <cellStyle name="Comma 2 16 2" xfId="4258"/>
    <cellStyle name="Comma 2 17" xfId="376"/>
    <cellStyle name="Comma 2 17 2" xfId="4259"/>
    <cellStyle name="Comma 2 18" xfId="377"/>
    <cellStyle name="Comma 2 18 2" xfId="4260"/>
    <cellStyle name="Comma 2 19" xfId="378"/>
    <cellStyle name="Comma 2 19 2" xfId="4261"/>
    <cellStyle name="Comma 2 2" xfId="73"/>
    <cellStyle name="Comma 2 2 10" xfId="380"/>
    <cellStyle name="Comma 2 2 10 2" xfId="4263"/>
    <cellStyle name="Comma 2 2 11" xfId="381"/>
    <cellStyle name="Comma 2 2 11 2" xfId="4264"/>
    <cellStyle name="Comma 2 2 12" xfId="382"/>
    <cellStyle name="Comma 2 2 12 2" xfId="4265"/>
    <cellStyle name="Comma 2 2 13" xfId="383"/>
    <cellStyle name="Comma 2 2 13 2" xfId="4266"/>
    <cellStyle name="Comma 2 2 14" xfId="384"/>
    <cellStyle name="Comma 2 2 14 2" xfId="4267"/>
    <cellStyle name="Comma 2 2 15" xfId="385"/>
    <cellStyle name="Comma 2 2 15 2" xfId="4268"/>
    <cellStyle name="Comma 2 2 16" xfId="386"/>
    <cellStyle name="Comma 2 2 16 2" xfId="4269"/>
    <cellStyle name="Comma 2 2 17" xfId="387"/>
    <cellStyle name="Comma 2 2 17 2" xfId="4270"/>
    <cellStyle name="Comma 2 2 18" xfId="388"/>
    <cellStyle name="Comma 2 2 18 2" xfId="4271"/>
    <cellStyle name="Comma 2 2 19" xfId="389"/>
    <cellStyle name="Comma 2 2 19 2" xfId="4272"/>
    <cellStyle name="Comma 2 2 2" xfId="379"/>
    <cellStyle name="Comma 2 2 2 2" xfId="2726"/>
    <cellStyle name="Comma 2 2 2 2 2" xfId="2774"/>
    <cellStyle name="Comma 2 2 2 2 2 2" xfId="5763"/>
    <cellStyle name="Comma 2 2 2 2 3" xfId="5718"/>
    <cellStyle name="Comma 2 2 2 3" xfId="4262"/>
    <cellStyle name="Comma 2 2 20" xfId="391"/>
    <cellStyle name="Comma 2 2 20 2" xfId="4274"/>
    <cellStyle name="Comma 2 2 21" xfId="392"/>
    <cellStyle name="Comma 2 2 21 2" xfId="4275"/>
    <cellStyle name="Comma 2 2 22" xfId="393"/>
    <cellStyle name="Comma 2 2 22 2" xfId="4276"/>
    <cellStyle name="Comma 2 2 23" xfId="394"/>
    <cellStyle name="Comma 2 2 23 2" xfId="4277"/>
    <cellStyle name="Comma 2 2 24" xfId="395"/>
    <cellStyle name="Comma 2 2 24 2" xfId="4278"/>
    <cellStyle name="Comma 2 2 25" xfId="396"/>
    <cellStyle name="Comma 2 2 25 2" xfId="4279"/>
    <cellStyle name="Comma 2 2 26" xfId="397"/>
    <cellStyle name="Comma 2 2 26 2" xfId="398"/>
    <cellStyle name="Comma 2 2 26 2 2" xfId="4281"/>
    <cellStyle name="Comma 2 2 26 3" xfId="4280"/>
    <cellStyle name="Comma 2 2 27" xfId="399"/>
    <cellStyle name="Comma 2 2 27 2" xfId="4282"/>
    <cellStyle name="Comma 2 2 28" xfId="400"/>
    <cellStyle name="Comma 2 2 28 2" xfId="4283"/>
    <cellStyle name="Comma 2 2 29" xfId="401"/>
    <cellStyle name="Comma 2 2 29 2" xfId="4284"/>
    <cellStyle name="Comma 2 2 3" xfId="402"/>
    <cellStyle name="Comma 2 2 3 2" xfId="4285"/>
    <cellStyle name="Comma 2 2 30" xfId="403"/>
    <cellStyle name="Comma 2 2 30 2" xfId="4286"/>
    <cellStyle name="Comma 2 2 31" xfId="862"/>
    <cellStyle name="Comma 2 2 31 2" xfId="4325"/>
    <cellStyle name="Comma 2 2 32" xfId="879"/>
    <cellStyle name="Comma 2 2 32 2" xfId="4328"/>
    <cellStyle name="Comma 2 2 33" xfId="1236"/>
    <cellStyle name="Comma 2 2 33 2" xfId="4503"/>
    <cellStyle name="Comma 2 2 34" xfId="1375"/>
    <cellStyle name="Comma 2 2 34 2" xfId="4572"/>
    <cellStyle name="Comma 2 2 35" xfId="1297"/>
    <cellStyle name="Comma 2 2 35 2" xfId="4546"/>
    <cellStyle name="Comma 2 2 36" xfId="1505"/>
    <cellStyle name="Comma 2 2 36 2" xfId="4655"/>
    <cellStyle name="Comma 2 2 37" xfId="1943"/>
    <cellStyle name="Comma 2 2 37 2" xfId="4997"/>
    <cellStyle name="Comma 2 2 38" xfId="1247"/>
    <cellStyle name="Comma 2 2 38 2" xfId="4510"/>
    <cellStyle name="Comma 2 2 39" xfId="2679"/>
    <cellStyle name="Comma 2 2 4" xfId="404"/>
    <cellStyle name="Comma 2 2 4 2" xfId="4287"/>
    <cellStyle name="Comma 2 2 40" xfId="4233"/>
    <cellStyle name="Comma 2 2 5" xfId="405"/>
    <cellStyle name="Comma 2 2 5 2" xfId="4288"/>
    <cellStyle name="Comma 2 2 6" xfId="406"/>
    <cellStyle name="Comma 2 2 6 2" xfId="4289"/>
    <cellStyle name="Comma 2 2 7" xfId="407"/>
    <cellStyle name="Comma 2 2 7 2" xfId="4290"/>
    <cellStyle name="Comma 2 2 8" xfId="408"/>
    <cellStyle name="Comma 2 2 8 2" xfId="4291"/>
    <cellStyle name="Comma 2 2 9" xfId="409"/>
    <cellStyle name="Comma 2 2 9 2" xfId="4292"/>
    <cellStyle name="Comma 2 20" xfId="410"/>
    <cellStyle name="Comma 2 20 2" xfId="4293"/>
    <cellStyle name="Comma 2 21" xfId="411"/>
    <cellStyle name="Comma 2 21 2" xfId="4294"/>
    <cellStyle name="Comma 2 22" xfId="412"/>
    <cellStyle name="Comma 2 22 2" xfId="4295"/>
    <cellStyle name="Comma 2 23" xfId="413"/>
    <cellStyle name="Comma 2 23 2" xfId="4296"/>
    <cellStyle name="Comma 2 24" xfId="414"/>
    <cellStyle name="Comma 2 24 2" xfId="4297"/>
    <cellStyle name="Comma 2 25" xfId="415"/>
    <cellStyle name="Comma 2 25 2" xfId="4298"/>
    <cellStyle name="Comma 2 26" xfId="416"/>
    <cellStyle name="Comma 2 26 2" xfId="4299"/>
    <cellStyle name="Comma 2 27" xfId="417"/>
    <cellStyle name="Comma 2 27 2" xfId="4300"/>
    <cellStyle name="Comma 2 28" xfId="859"/>
    <cellStyle name="Comma 2 28 2" xfId="4322"/>
    <cellStyle name="Comma 2 29" xfId="860"/>
    <cellStyle name="Comma 2 29 2" xfId="4323"/>
    <cellStyle name="Comma 2 3" xfId="418"/>
    <cellStyle name="Comma 2 30" xfId="888"/>
    <cellStyle name="Comma 2 31" xfId="954"/>
    <cellStyle name="Comma 2 31 2" xfId="4377"/>
    <cellStyle name="Comma 2 32" xfId="339"/>
    <cellStyle name="Comma 2 32 2" xfId="4250"/>
    <cellStyle name="Comma 2 33" xfId="1217"/>
    <cellStyle name="Comma 2 33 2" xfId="4489"/>
    <cellStyle name="Comma 2 34" xfId="1402"/>
    <cellStyle name="Comma 2 34 2" xfId="4589"/>
    <cellStyle name="Comma 2 35" xfId="1284"/>
    <cellStyle name="Comma 2 35 2" xfId="4539"/>
    <cellStyle name="Comma 2 36" xfId="1219"/>
    <cellStyle name="Comma 2 36 2" xfId="4491"/>
    <cellStyle name="Comma 2 37" xfId="1301"/>
    <cellStyle name="Comma 2 37 2" xfId="4548"/>
    <cellStyle name="Comma 2 38" xfId="4215"/>
    <cellStyle name="Comma 2 38 2" xfId="7154"/>
    <cellStyle name="Comma 2 4" xfId="419"/>
    <cellStyle name="Comma 2 4 2" xfId="4301"/>
    <cellStyle name="Comma 2 5" xfId="420"/>
    <cellStyle name="Comma 2 5 2" xfId="4302"/>
    <cellStyle name="Comma 2 6" xfId="421"/>
    <cellStyle name="Comma 2 6 2" xfId="4303"/>
    <cellStyle name="Comma 2 7" xfId="422"/>
    <cellStyle name="Comma 2 7 2" xfId="4304"/>
    <cellStyle name="Comma 2 8" xfId="423"/>
    <cellStyle name="Comma 2 8 2" xfId="4305"/>
    <cellStyle name="Comma 2 9" xfId="424"/>
    <cellStyle name="Comma 2 9 2" xfId="4306"/>
    <cellStyle name="Comma 2_BS AT&amp;C" xfId="823"/>
    <cellStyle name="Comma 25" xfId="7155"/>
    <cellStyle name="Comma 28 2" xfId="4209"/>
    <cellStyle name="Comma 28 2 2" xfId="4214"/>
    <cellStyle name="Comma 3" xfId="3"/>
    <cellStyle name="Comma 3 10" xfId="182"/>
    <cellStyle name="Comma 3 10 2" xfId="4243"/>
    <cellStyle name="Comma 3 11" xfId="1868"/>
    <cellStyle name="Comma 3 11 2" xfId="4925"/>
    <cellStyle name="Comma 3 12" xfId="2085"/>
    <cellStyle name="Comma 3 12 2" xfId="5132"/>
    <cellStyle name="Comma 3 13" xfId="7153"/>
    <cellStyle name="Comma 3 2" xfId="60"/>
    <cellStyle name="Comma 3 2 10" xfId="2714"/>
    <cellStyle name="Comma 3 2 2" xfId="425"/>
    <cellStyle name="Comma 3 2 2 2" xfId="4307"/>
    <cellStyle name="Comma 3 2 3" xfId="890"/>
    <cellStyle name="Comma 3 2 3 2" xfId="4334"/>
    <cellStyle name="Comma 3 2 4" xfId="1273"/>
    <cellStyle name="Comma 3 2 4 2" xfId="4533"/>
    <cellStyle name="Comma 3 2 5" xfId="1487"/>
    <cellStyle name="Comma 3 2 5 2" xfId="4641"/>
    <cellStyle name="Comma 3 2 6" xfId="1307"/>
    <cellStyle name="Comma 3 2 6 2" xfId="4549"/>
    <cellStyle name="Comma 3 2 7" xfId="1459"/>
    <cellStyle name="Comma 3 2 7 2" xfId="4631"/>
    <cellStyle name="Comma 3 2 8" xfId="1108"/>
    <cellStyle name="Comma 3 2 8 2" xfId="4415"/>
    <cellStyle name="Comma 3 2 9" xfId="1829"/>
    <cellStyle name="Comma 3 2 9 2" xfId="4891"/>
    <cellStyle name="Comma 3 3" xfId="77"/>
    <cellStyle name="Comma 3 3 2" xfId="863"/>
    <cellStyle name="Comma 3 3 2 2" xfId="4326"/>
    <cellStyle name="Comma 3 3 3" xfId="1476"/>
    <cellStyle name="Comma 3 3 3 2" xfId="4637"/>
    <cellStyle name="Comma 3 3 4" xfId="1089"/>
    <cellStyle name="Comma 3 3 4 2" xfId="4399"/>
    <cellStyle name="Comma 3 3 5" xfId="1857"/>
    <cellStyle name="Comma 3 3 5 2" xfId="4915"/>
    <cellStyle name="Comma 3 3 6" xfId="2074"/>
    <cellStyle name="Comma 3 3 6 2" xfId="5122"/>
    <cellStyle name="Comma 3 3 7" xfId="2290"/>
    <cellStyle name="Comma 3 3 7 2" xfId="5327"/>
    <cellStyle name="Comma 3 3 8" xfId="2499"/>
    <cellStyle name="Comma 3 3 8 2" xfId="5529"/>
    <cellStyle name="Comma 3 3 9" xfId="4235"/>
    <cellStyle name="Comma 3 4" xfId="880"/>
    <cellStyle name="Comma 3 4 2" xfId="4329"/>
    <cellStyle name="Comma 3 5" xfId="891"/>
    <cellStyle name="Comma 3 5 2" xfId="4335"/>
    <cellStyle name="Comma 3 6" xfId="957"/>
    <cellStyle name="Comma 3 6 2" xfId="4379"/>
    <cellStyle name="Comma 3 7" xfId="203"/>
    <cellStyle name="Comma 3 7 2" xfId="4245"/>
    <cellStyle name="Comma 3 8" xfId="1213"/>
    <cellStyle name="Comma 3 8 2" xfId="4487"/>
    <cellStyle name="Comma 3 9" xfId="1405"/>
    <cellStyle name="Comma 3 9 2" xfId="4591"/>
    <cellStyle name="Comma 4" xfId="18"/>
    <cellStyle name="Comma 4 2" xfId="64"/>
    <cellStyle name="Comma 4 2 10" xfId="4229"/>
    <cellStyle name="Comma 4 2 2" xfId="892"/>
    <cellStyle name="Comma 4 2 3" xfId="1498"/>
    <cellStyle name="Comma 4 2 4" xfId="1646"/>
    <cellStyle name="Comma 4 2 5" xfId="1874"/>
    <cellStyle name="Comma 4 2 6" xfId="2092"/>
    <cellStyle name="Comma 4 2 7" xfId="2305"/>
    <cellStyle name="Comma 4 2 8" xfId="2511"/>
    <cellStyle name="Comma 4 2 9" xfId="2718"/>
    <cellStyle name="Comma 4 2 9 2" xfId="5715"/>
    <cellStyle name="Comma 4 3" xfId="973"/>
    <cellStyle name="Comma 4 3 2" xfId="4381"/>
    <cellStyle name="Comma 4 4" xfId="4216"/>
    <cellStyle name="Comma 5" xfId="21"/>
    <cellStyle name="Comma 5 2" xfId="67"/>
    <cellStyle name="Comma 5 2 10" xfId="4230"/>
    <cellStyle name="Comma 5 2 2" xfId="893"/>
    <cellStyle name="Comma 5 2 2 2" xfId="4336"/>
    <cellStyle name="Comma 5 2 3" xfId="1499"/>
    <cellStyle name="Comma 5 2 3 2" xfId="4652"/>
    <cellStyle name="Comma 5 2 4" xfId="1647"/>
    <cellStyle name="Comma 5 2 4 2" xfId="4766"/>
    <cellStyle name="Comma 5 2 5" xfId="1875"/>
    <cellStyle name="Comma 5 2 5 2" xfId="4931"/>
    <cellStyle name="Comma 5 2 6" xfId="2093"/>
    <cellStyle name="Comma 5 2 6 2" xfId="5139"/>
    <cellStyle name="Comma 5 2 7" xfId="2306"/>
    <cellStyle name="Comma 5 2 7 2" xfId="5341"/>
    <cellStyle name="Comma 5 2 8" xfId="2512"/>
    <cellStyle name="Comma 5 2 8 2" xfId="5541"/>
    <cellStyle name="Comma 5 2 9" xfId="2721"/>
    <cellStyle name="Comma 5 2 9 2" xfId="5716"/>
    <cellStyle name="Comma 5 3" xfId="974"/>
    <cellStyle name="Comma 5 3 2" xfId="4382"/>
    <cellStyle name="Comma 5 4" xfId="4217"/>
    <cellStyle name="Comma 6" xfId="22"/>
    <cellStyle name="Comma 6 10" xfId="1513"/>
    <cellStyle name="Comma 6 10 2" xfId="4660"/>
    <cellStyle name="Comma 6 11" xfId="1246"/>
    <cellStyle name="Comma 6 11 2" xfId="4509"/>
    <cellStyle name="Comma 6 12" xfId="1218"/>
    <cellStyle name="Comma 6 12 2" xfId="4490"/>
    <cellStyle name="Comma 6 13" xfId="1417"/>
    <cellStyle name="Comma 6 13 2" xfId="4597"/>
    <cellStyle name="Comma 6 14" xfId="4218"/>
    <cellStyle name="Comma 6 2" xfId="68"/>
    <cellStyle name="Comma 6 2 10" xfId="4231"/>
    <cellStyle name="Comma 6 2 2" xfId="427"/>
    <cellStyle name="Comma 6 2 2 2" xfId="4308"/>
    <cellStyle name="Comma 6 2 3" xfId="1274"/>
    <cellStyle name="Comma 6 2 3 2" xfId="4534"/>
    <cellStyle name="Comma 6 2 4" xfId="1355"/>
    <cellStyle name="Comma 6 2 4 2" xfId="4557"/>
    <cellStyle name="Comma 6 2 5" xfId="1308"/>
    <cellStyle name="Comma 6 2 5 2" xfId="4550"/>
    <cellStyle name="Comma 6 2 6" xfId="1507"/>
    <cellStyle name="Comma 6 2 6 2" xfId="4657"/>
    <cellStyle name="Comma 6 2 7" xfId="1171"/>
    <cellStyle name="Comma 6 2 7 2" xfId="4461"/>
    <cellStyle name="Comma 6 2 8" xfId="1828"/>
    <cellStyle name="Comma 6 2 8 2" xfId="4890"/>
    <cellStyle name="Comma 6 2 9" xfId="2722"/>
    <cellStyle name="Comma 6 2 9 2" xfId="5717"/>
    <cellStyle name="Comma 6 3" xfId="148"/>
    <cellStyle name="Comma 6 3 2" xfId="428"/>
    <cellStyle name="Comma 6 3 2 2" xfId="4309"/>
    <cellStyle name="Comma 6 3 3" xfId="1275"/>
    <cellStyle name="Comma 6 3 3 2" xfId="4535"/>
    <cellStyle name="Comma 6 3 4" xfId="1354"/>
    <cellStyle name="Comma 6 3 4 2" xfId="4556"/>
    <cellStyle name="Comma 6 3 5" xfId="1309"/>
    <cellStyle name="Comma 6 3 5 2" xfId="4551"/>
    <cellStyle name="Comma 6 3 6" xfId="1720"/>
    <cellStyle name="Comma 6 3 6 2" xfId="4818"/>
    <cellStyle name="Comma 6 3 7" xfId="1944"/>
    <cellStyle name="Comma 6 3 7 2" xfId="4998"/>
    <cellStyle name="Comma 6 3 8" xfId="1240"/>
    <cellStyle name="Comma 6 3 8 2" xfId="4506"/>
    <cellStyle name="Comma 6 3 9" xfId="4239"/>
    <cellStyle name="Comma 6 4" xfId="429"/>
    <cellStyle name="Comma 6 4 2" xfId="4310"/>
    <cellStyle name="Comma 6 5" xfId="430"/>
    <cellStyle name="Comma 6 5 2" xfId="4311"/>
    <cellStyle name="Comma 6 6" xfId="431"/>
    <cellStyle name="Comma 6 6 2" xfId="4312"/>
    <cellStyle name="Comma 6 7" xfId="975"/>
    <cellStyle name="Comma 6 7 2" xfId="4383"/>
    <cellStyle name="Comma 6 8" xfId="1110"/>
    <cellStyle name="Comma 6 8 2" xfId="4417"/>
    <cellStyle name="Comma 6 9" xfId="1179"/>
    <cellStyle name="Comma 6 9 2" xfId="4467"/>
    <cellStyle name="Comma 6_Notes" xfId="426"/>
    <cellStyle name="Comma 7" xfId="27"/>
    <cellStyle name="Comma 7 10" xfId="1415"/>
    <cellStyle name="Comma 7 10 2" xfId="4596"/>
    <cellStyle name="Comma 7 11" xfId="2684"/>
    <cellStyle name="Comma 7 11 2" xfId="5705"/>
    <cellStyle name="Comma 7 12" xfId="4219"/>
    <cellStyle name="Comma 7 2" xfId="149"/>
    <cellStyle name="Comma 7 2 2" xfId="433"/>
    <cellStyle name="Comma 7 2 2 2" xfId="4313"/>
    <cellStyle name="Comma 7 2 3" xfId="1278"/>
    <cellStyle name="Comma 7 2 3 2" xfId="4536"/>
    <cellStyle name="Comma 7 2 4" xfId="1353"/>
    <cellStyle name="Comma 7 2 4 2" xfId="4555"/>
    <cellStyle name="Comma 7 2 5" xfId="1310"/>
    <cellStyle name="Comma 7 2 5 2" xfId="4552"/>
    <cellStyle name="Comma 7 2 6" xfId="1177"/>
    <cellStyle name="Comma 7 2 6 2" xfId="4465"/>
    <cellStyle name="Comma 7 2 7" xfId="1172"/>
    <cellStyle name="Comma 7 2 7 2" xfId="4462"/>
    <cellStyle name="Comma 7 2 8" xfId="1238"/>
    <cellStyle name="Comma 7 2 8 2" xfId="4505"/>
    <cellStyle name="Comma 7 2 9" xfId="4240"/>
    <cellStyle name="Comma 7 3" xfId="434"/>
    <cellStyle name="Comma 7 3 2" xfId="4314"/>
    <cellStyle name="Comma 7 4" xfId="894"/>
    <cellStyle name="Comma 7 4 2" xfId="4337"/>
    <cellStyle name="Comma 7 5" xfId="1111"/>
    <cellStyle name="Comma 7 5 2" xfId="4418"/>
    <cellStyle name="Comma 7 6" xfId="1506"/>
    <cellStyle name="Comma 7 6 2" xfId="4656"/>
    <cellStyle name="Comma 7 7" xfId="1169"/>
    <cellStyle name="Comma 7 7 2" xfId="4460"/>
    <cellStyle name="Comma 7 8" xfId="1244"/>
    <cellStyle name="Comma 7 8 2" xfId="4508"/>
    <cellStyle name="Comma 7 9" xfId="1202"/>
    <cellStyle name="Comma 7 9 2" xfId="4481"/>
    <cellStyle name="Comma 7_Notes" xfId="432"/>
    <cellStyle name="Comma 8" xfId="30"/>
    <cellStyle name="Comma 8 10" xfId="1414"/>
    <cellStyle name="Comma 8 10 2" xfId="4595"/>
    <cellStyle name="Comma 8 11" xfId="2687"/>
    <cellStyle name="Comma 8 11 2" xfId="5706"/>
    <cellStyle name="Comma 8 12" xfId="4220"/>
    <cellStyle name="Comma 8 2" xfId="150"/>
    <cellStyle name="Comma 8 2 2" xfId="435"/>
    <cellStyle name="Comma 8 2 2 2" xfId="4315"/>
    <cellStyle name="Comma 8 2 3" xfId="1280"/>
    <cellStyle name="Comma 8 2 3 2" xfId="4537"/>
    <cellStyle name="Comma 8 2 4" xfId="1352"/>
    <cellStyle name="Comma 8 2 4 2" xfId="4554"/>
    <cellStyle name="Comma 8 2 5" xfId="1312"/>
    <cellStyle name="Comma 8 2 5 2" xfId="4553"/>
    <cellStyle name="Comma 8 2 6" xfId="1508"/>
    <cellStyle name="Comma 8 2 6 2" xfId="4658"/>
    <cellStyle name="Comma 8 2 7" xfId="1521"/>
    <cellStyle name="Comma 8 2 7 2" xfId="4667"/>
    <cellStyle name="Comma 8 2 8" xfId="1237"/>
    <cellStyle name="Comma 8 2 8 2" xfId="4504"/>
    <cellStyle name="Comma 8 2 9" xfId="4241"/>
    <cellStyle name="Comma 8 3" xfId="895"/>
    <cellStyle name="Comma 8 3 2" xfId="4338"/>
    <cellStyle name="Comma 8 4" xfId="976"/>
    <cellStyle name="Comma 8 4 2" xfId="4384"/>
    <cellStyle name="Comma 8 5" xfId="1112"/>
    <cellStyle name="Comma 8 5 2" xfId="4419"/>
    <cellStyle name="Comma 8 6" xfId="1178"/>
    <cellStyle name="Comma 8 6 2" xfId="4466"/>
    <cellStyle name="Comma 8 7" xfId="1593"/>
    <cellStyle name="Comma 8 7 2" xfId="4716"/>
    <cellStyle name="Comma 8 8" xfId="1243"/>
    <cellStyle name="Comma 8 8 2" xfId="4507"/>
    <cellStyle name="Comma 8 9" xfId="1203"/>
    <cellStyle name="Comma 8 9 2" xfId="4482"/>
    <cellStyle name="Comma 9" xfId="32"/>
    <cellStyle name="Comma 9 10" xfId="1299"/>
    <cellStyle name="Comma 9 10 2" xfId="4547"/>
    <cellStyle name="Comma 9 11" xfId="2689"/>
    <cellStyle name="Comma 9 11 2" xfId="5708"/>
    <cellStyle name="Comma 9 12" xfId="4222"/>
    <cellStyle name="Comma 9 2" xfId="74"/>
    <cellStyle name="Comma 9 2 2" xfId="896"/>
    <cellStyle name="Comma 9 2 2 2" xfId="4339"/>
    <cellStyle name="Comma 9 2 3" xfId="1501"/>
    <cellStyle name="Comma 9 2 3 2" xfId="4653"/>
    <cellStyle name="Comma 9 2 4" xfId="1648"/>
    <cellStyle name="Comma 9 2 4 2" xfId="4767"/>
    <cellStyle name="Comma 9 2 5" xfId="1876"/>
    <cellStyle name="Comma 9 2 5 2" xfId="4932"/>
    <cellStyle name="Comma 9 2 6" xfId="2094"/>
    <cellStyle name="Comma 9 2 6 2" xfId="5140"/>
    <cellStyle name="Comma 9 2 7" xfId="2307"/>
    <cellStyle name="Comma 9 2 7 2" xfId="5342"/>
    <cellStyle name="Comma 9 2 8" xfId="2513"/>
    <cellStyle name="Comma 9 2 8 2" xfId="5542"/>
    <cellStyle name="Comma 9 2 9" xfId="4234"/>
    <cellStyle name="Comma 9 3" xfId="897"/>
    <cellStyle name="Comma 9 3 2" xfId="4340"/>
    <cellStyle name="Comma 9 4" xfId="955"/>
    <cellStyle name="Comma 9 4 2" xfId="4378"/>
    <cellStyle name="Comma 9 5" xfId="772"/>
    <cellStyle name="Comma 9 5 2" xfId="4321"/>
    <cellStyle name="Comma 9 6" xfId="1216"/>
    <cellStyle name="Comma 9 6 2" xfId="4488"/>
    <cellStyle name="Comma 9 7" xfId="1403"/>
    <cellStyle name="Comma 9 7 2" xfId="4590"/>
    <cellStyle name="Comma 9 8" xfId="1283"/>
    <cellStyle name="Comma 9 8 2" xfId="4538"/>
    <cellStyle name="Comma 9 9" xfId="1141"/>
    <cellStyle name="Comma 9 9 2" xfId="4441"/>
    <cellStyle name="Comma ã0î" xfId="151"/>
    <cellStyle name="comma zerodec" xfId="152"/>
    <cellStyle name="Comma0" xfId="153"/>
    <cellStyle name="COMPS" xfId="154"/>
    <cellStyle name="Copied" xfId="155"/>
    <cellStyle name="Curren - Style2" xfId="6"/>
    <cellStyle name="Currency [00]" xfId="156"/>
    <cellStyle name="Currency 2" xfId="157"/>
    <cellStyle name="Currency0" xfId="158"/>
    <cellStyle name="Currency1" xfId="159"/>
    <cellStyle name="DATA_ENT" xfId="160"/>
    <cellStyle name="Date" xfId="161"/>
    <cellStyle name="Date Short" xfId="162"/>
    <cellStyle name="Date_Book2 (5)" xfId="163"/>
    <cellStyle name="DELTA" xfId="164"/>
    <cellStyle name="Dezimal_Europe CIS   Africa Global P Ls" xfId="165"/>
    <cellStyle name="Dollar (zero dec)" xfId="166"/>
    <cellStyle name="DOWNFOOT" xfId="167"/>
    <cellStyle name="DOWNFOOT 2" xfId="977"/>
    <cellStyle name="DOWNFOOT 3" xfId="1123"/>
    <cellStyle name="DOWNFOOT 3 2" xfId="3002"/>
    <cellStyle name="DOWNFOOT 3 3" xfId="4427"/>
    <cellStyle name="DOWNFOOT 4" xfId="1455"/>
    <cellStyle name="DOWNFOOT 4 2" xfId="3164"/>
    <cellStyle name="DOWNFOOT 4 3" xfId="4630"/>
    <cellStyle name="DOWNFOOT 5" xfId="1546"/>
    <cellStyle name="DOWNFOOT 5 2" xfId="3230"/>
    <cellStyle name="DOWNFOOT 6" xfId="1831"/>
    <cellStyle name="DOWNFOOT 6 2" xfId="3498"/>
    <cellStyle name="DOWNFOOT 6 3" xfId="4892"/>
    <cellStyle name="DOWNFOOT 7" xfId="2050"/>
    <cellStyle name="DOWNFOOT 7 2" xfId="3701"/>
    <cellStyle name="DOWNFOOT 7 3" xfId="5101"/>
    <cellStyle name="DOWNFOOT 8" xfId="2267"/>
    <cellStyle name="DOWNFOOT 8 2" xfId="3903"/>
    <cellStyle name="DOWNFOOT 8 3" xfId="5306"/>
    <cellStyle name="DOWNFOOT 9" xfId="2730"/>
    <cellStyle name="Dziesiętny_P Ls_Poland_August 2007" xfId="168"/>
    <cellStyle name="Enter Currency (0)" xfId="169"/>
    <cellStyle name="Enter Currency (2)" xfId="170"/>
    <cellStyle name="Enter Units (0)" xfId="171"/>
    <cellStyle name="Enter Units (1)" xfId="172"/>
    <cellStyle name="Enter Units (2)" xfId="173"/>
    <cellStyle name="Entered" xfId="174"/>
    <cellStyle name="Euro" xfId="175"/>
    <cellStyle name="Excel Built-in Normal" xfId="4196"/>
    <cellStyle name="Explanatory Text 2" xfId="436"/>
    <cellStyle name="EYtext" xfId="176"/>
    <cellStyle name="Fixed" xfId="177"/>
    <cellStyle name="Followed Hyperlink 4" xfId="178"/>
    <cellStyle name="Good 2" xfId="437"/>
    <cellStyle name="Grey" xfId="7"/>
    <cellStyle name="ha" xfId="179"/>
    <cellStyle name="HEADER" xfId="180"/>
    <cellStyle name="Header1" xfId="8"/>
    <cellStyle name="Header2" xfId="9"/>
    <cellStyle name="Header2 2" xfId="978"/>
    <cellStyle name="Header2 2 2" xfId="1549"/>
    <cellStyle name="Header2 2 2 2" xfId="3232"/>
    <cellStyle name="Header2 2 2 2 2" xfId="6204"/>
    <cellStyle name="Header2 2 3" xfId="2160"/>
    <cellStyle name="Header2 2 3 2" xfId="3798"/>
    <cellStyle name="Header2 2 4" xfId="2874"/>
    <cellStyle name="Header2 3" xfId="1032"/>
    <cellStyle name="Header2 3 2" xfId="1594"/>
    <cellStyle name="Header2 3 2 2" xfId="3276"/>
    <cellStyle name="Header2 3 2 2 2" xfId="6248"/>
    <cellStyle name="Header2 3 3" xfId="1772"/>
    <cellStyle name="Header2 3 3 2" xfId="3443"/>
    <cellStyle name="Header2 3 3 2 2" xfId="6413"/>
    <cellStyle name="Header2 3 3 3" xfId="4849"/>
    <cellStyle name="Header2 3 4" xfId="1995"/>
    <cellStyle name="Header2 3 4 2" xfId="3647"/>
    <cellStyle name="Header2 3 5" xfId="2211"/>
    <cellStyle name="Header2 3 5 2" xfId="3849"/>
    <cellStyle name="Header2 3 6" xfId="2423"/>
    <cellStyle name="Header2 3 6 2" xfId="4048"/>
    <cellStyle name="Header2 3 6 2 2" xfId="7004"/>
    <cellStyle name="Header2 3 6 3" xfId="5456"/>
    <cellStyle name="Header2 3 7" xfId="2627"/>
    <cellStyle name="Header2 3 7 2" xfId="4193"/>
    <cellStyle name="Header2 3 7 2 2" xfId="7148"/>
    <cellStyle name="Header2 3 7 3" xfId="5654"/>
    <cellStyle name="Header2 3 8" xfId="2924"/>
    <cellStyle name="Header2 3 8 2" xfId="5910"/>
    <cellStyle name="Header2 4" xfId="999"/>
    <cellStyle name="Header2 4 2" xfId="1568"/>
    <cellStyle name="Header2 4 2 2" xfId="3251"/>
    <cellStyle name="Header2 4 2 2 2" xfId="6223"/>
    <cellStyle name="Header2 4 2 3" xfId="4710"/>
    <cellStyle name="Header2 4 3" xfId="1739"/>
    <cellStyle name="Header2 4 3 2" xfId="3410"/>
    <cellStyle name="Header2 4 3 2 2" xfId="6380"/>
    <cellStyle name="Header2 4 3 3" xfId="4821"/>
    <cellStyle name="Header2 4 4" xfId="1962"/>
    <cellStyle name="Header2 4 4 2" xfId="3614"/>
    <cellStyle name="Header2 4 4 2 2" xfId="6580"/>
    <cellStyle name="Header2 4 4 3" xfId="5016"/>
    <cellStyle name="Header2 4 5" xfId="2178"/>
    <cellStyle name="Header2 4 5 2" xfId="3816"/>
    <cellStyle name="Header2 4 5 2 2" xfId="6776"/>
    <cellStyle name="Header2 4 5 3" xfId="5221"/>
    <cellStyle name="Header2 4 6" xfId="2390"/>
    <cellStyle name="Header2 4 6 2" xfId="4015"/>
    <cellStyle name="Header2 4 6 2 2" xfId="6971"/>
    <cellStyle name="Header2 4 6 3" xfId="5423"/>
    <cellStyle name="Header2 4 7" xfId="2594"/>
    <cellStyle name="Header2 4 7 2" xfId="5621"/>
    <cellStyle name="Header2 4 8" xfId="2891"/>
    <cellStyle name="Header2 4 8 2" xfId="5877"/>
    <cellStyle name="Header2 5" xfId="1127"/>
    <cellStyle name="Header2 5 2" xfId="3003"/>
    <cellStyle name="Header2 5 2 2" xfId="5986"/>
    <cellStyle name="Header2 5 3" xfId="4429"/>
    <cellStyle name="Header2 6" xfId="1522"/>
    <cellStyle name="Header2 6 2" xfId="3207"/>
    <cellStyle name="Header2 6 2 2" xfId="6180"/>
    <cellStyle name="Header2 6 3" xfId="4668"/>
    <cellStyle name="Header2 7" xfId="1239"/>
    <cellStyle name="Header2 7 2" xfId="3064"/>
    <cellStyle name="Header2 8" xfId="1410"/>
    <cellStyle name="Header2 8 2" xfId="3132"/>
    <cellStyle name="Header2 8 2 2" xfId="6107"/>
    <cellStyle name="Header2 8 3" xfId="4594"/>
    <cellStyle name="Header2 9" xfId="2680"/>
    <cellStyle name="Heading 1 2" xfId="438"/>
    <cellStyle name="Heading 2 2" xfId="439"/>
    <cellStyle name="Heading 3 2" xfId="440"/>
    <cellStyle name="Heading 4 2" xfId="441"/>
    <cellStyle name="headoption" xfId="183"/>
    <cellStyle name="Hyperlink 2" xfId="442"/>
    <cellStyle name="Input [yellow]" xfId="10"/>
    <cellStyle name="Input 2" xfId="443"/>
    <cellStyle name="Input 2 2" xfId="937"/>
    <cellStyle name="Input 2 2 2" xfId="1687"/>
    <cellStyle name="Input 2 2 2 2" xfId="3363"/>
    <cellStyle name="Input 2 2 2 2 2" xfId="6333"/>
    <cellStyle name="Input 2 2 2 3" xfId="4802"/>
    <cellStyle name="Input 2 2 3" xfId="1914"/>
    <cellStyle name="Input 2 2 3 2" xfId="3568"/>
    <cellStyle name="Input 2 2 3 2 2" xfId="6534"/>
    <cellStyle name="Input 2 2 3 3" xfId="4968"/>
    <cellStyle name="Input 2 2 4" xfId="2132"/>
    <cellStyle name="Input 2 2 4 2" xfId="3770"/>
    <cellStyle name="Input 2 2 4 2 2" xfId="6731"/>
    <cellStyle name="Input 2 2 4 3" xfId="5176"/>
    <cellStyle name="Input 2 2 5" xfId="2345"/>
    <cellStyle name="Input 2 2 5 2" xfId="3970"/>
    <cellStyle name="Input 2 2 5 2 2" xfId="6926"/>
    <cellStyle name="Input 2 2 5 3" xfId="5378"/>
    <cellStyle name="Input 2 2 6" xfId="2550"/>
    <cellStyle name="Input 2 2 6 2" xfId="5577"/>
    <cellStyle name="Input 2 2 7" xfId="2846"/>
    <cellStyle name="Input 2 2 7 2" xfId="5833"/>
    <cellStyle name="Input 2 3" xfId="1351"/>
    <cellStyle name="Input 2 3 2" xfId="3096"/>
    <cellStyle name="Input 2 3 2 2" xfId="6073"/>
    <cellStyle name="Input 2 4" xfId="1313"/>
    <cellStyle name="Input 2 4 2" xfId="3095"/>
    <cellStyle name="Input 2 4 2 2" xfId="6072"/>
    <cellStyle name="Input 2 5" xfId="1176"/>
    <cellStyle name="Input 2 5 2" xfId="3036"/>
    <cellStyle name="Input 2 5 2 2" xfId="6017"/>
    <cellStyle name="Input 2 5 3" xfId="4464"/>
    <cellStyle name="Input 2 6" xfId="1488"/>
    <cellStyle name="Input 2 6 2" xfId="3190"/>
    <cellStyle name="Input 2 6 2 2" xfId="6164"/>
    <cellStyle name="Input 2 6 3" xfId="4642"/>
    <cellStyle name="Input 2 7" xfId="1825"/>
    <cellStyle name="Input 2 7 2" xfId="3495"/>
    <cellStyle name="Input 2 7 2 2" xfId="6464"/>
    <cellStyle name="Input 2 7 3" xfId="4887"/>
    <cellStyle name="Input 2 8" xfId="2776"/>
    <cellStyle name="Input 2 8 2" xfId="5765"/>
    <cellStyle name="Link Currency (0)" xfId="185"/>
    <cellStyle name="Link Currency (2)" xfId="186"/>
    <cellStyle name="Link Units (0)" xfId="187"/>
    <cellStyle name="Link Units (1)" xfId="188"/>
    <cellStyle name="Link Units (2)" xfId="189"/>
    <cellStyle name="Linked Cell 2" xfId="444"/>
    <cellStyle name="Marius1" xfId="190"/>
    <cellStyle name="Millares_Gastos de Viaje" xfId="191"/>
    <cellStyle name="Milliers [0]_BP sales projection-draft2" xfId="192"/>
    <cellStyle name="Milliers_Cameron jan 03 -sept 03" xfId="193"/>
    <cellStyle name="Model" xfId="194"/>
    <cellStyle name="n" xfId="195"/>
    <cellStyle name="Neutral 2" xfId="445"/>
    <cellStyle name="New Times Roman" xfId="196"/>
    <cellStyle name="no dec" xfId="11"/>
    <cellStyle name="ÑONVÒ" xfId="198"/>
    <cellStyle name="Normal" xfId="0" builtinId="0"/>
    <cellStyle name="Normal - Style1" xfId="12"/>
    <cellStyle name="Normal - Style1 2" xfId="199"/>
    <cellStyle name="Normal - Style1 3" xfId="1139"/>
    <cellStyle name="Normal - Style1 4" xfId="1175"/>
    <cellStyle name="Normal - Style1 5" xfId="1232"/>
    <cellStyle name="Normal - Style1 6" xfId="1204"/>
    <cellStyle name="Normal - Style1 7" xfId="1477"/>
    <cellStyle name="Normal - Style1 8" xfId="2263"/>
    <cellStyle name="Normal - 유형1" xfId="200"/>
    <cellStyle name="Normal 10" xfId="36"/>
    <cellStyle name="Normal 10 10" xfId="1350"/>
    <cellStyle name="Normal 10 11" xfId="1314"/>
    <cellStyle name="Normal 10 12" xfId="1509"/>
    <cellStyle name="Normal 10 13" xfId="1231"/>
    <cellStyle name="Normal 10 14" xfId="1824"/>
    <cellStyle name="Normal 10 15" xfId="2693"/>
    <cellStyle name="Normal 10 2" xfId="446"/>
    <cellStyle name="Normal 10 2 2" xfId="448"/>
    <cellStyle name="Normal 10 2 3" xfId="449"/>
    <cellStyle name="Normal 10 2 4" xfId="450"/>
    <cellStyle name="Normal 10 2 5" xfId="451"/>
    <cellStyle name="Normal 10 2 6" xfId="452"/>
    <cellStyle name="Normal 10 3" xfId="453"/>
    <cellStyle name="Normal 10 3 2" xfId="454"/>
    <cellStyle name="Normal 10 3 3" xfId="455"/>
    <cellStyle name="Normal 10 3 4" xfId="456"/>
    <cellStyle name="Normal 10 3 5" xfId="457"/>
    <cellStyle name="Normal 10 3 6" xfId="458"/>
    <cellStyle name="Normal 10 4" xfId="459"/>
    <cellStyle name="Normal 10 4 2" xfId="460"/>
    <cellStyle name="Normal 10 4 3" xfId="461"/>
    <cellStyle name="Normal 10 4 4" xfId="462"/>
    <cellStyle name="Normal 10 4 5" xfId="463"/>
    <cellStyle name="Normal 10 5" xfId="464"/>
    <cellStyle name="Normal 10 6" xfId="465"/>
    <cellStyle name="Normal 10 7" xfId="466"/>
    <cellStyle name="Normal 10 8" xfId="467"/>
    <cellStyle name="Normal 10 9" xfId="1287"/>
    <cellStyle name="Normal 11" xfId="39"/>
    <cellStyle name="Normal 11 10" xfId="2696"/>
    <cellStyle name="Normal 11 2" xfId="468"/>
    <cellStyle name="Normal 11 2 10" xfId="1319"/>
    <cellStyle name="Normal 11 2 11" xfId="1346"/>
    <cellStyle name="Normal 11 2 12" xfId="1316"/>
    <cellStyle name="Normal 11 2 13" xfId="1348"/>
    <cellStyle name="Normal 11 2 2" xfId="469"/>
    <cellStyle name="Normal 11 2 3" xfId="471"/>
    <cellStyle name="Normal 11 2 4" xfId="472"/>
    <cellStyle name="Normal 11 2 5" xfId="473"/>
    <cellStyle name="Normal 11 2 6" xfId="474"/>
    <cellStyle name="Normal 11 2 7" xfId="898"/>
    <cellStyle name="Normal 11 2 8" xfId="1296"/>
    <cellStyle name="Normal 11 2 9" xfId="1344"/>
    <cellStyle name="Normal 11 3" xfId="475"/>
    <cellStyle name="Normal 11 3 2" xfId="476"/>
    <cellStyle name="Normal 11 3 3" xfId="477"/>
    <cellStyle name="Normal 11 3 4" xfId="478"/>
    <cellStyle name="Normal 11 3 5" xfId="479"/>
    <cellStyle name="Normal 11 3 6" xfId="480"/>
    <cellStyle name="Normal 11 4" xfId="1295"/>
    <cellStyle name="Normal 11 5" xfId="1345"/>
    <cellStyle name="Normal 11 6" xfId="1318"/>
    <cellStyle name="Normal 11 7" xfId="1347"/>
    <cellStyle name="Normal 11 8" xfId="1315"/>
    <cellStyle name="Normal 11 9" xfId="1349"/>
    <cellStyle name="Normal 11_Current Liabilities" xfId="481"/>
    <cellStyle name="Normal 12" xfId="41"/>
    <cellStyle name="Normal 12 10" xfId="1342"/>
    <cellStyle name="Normal 12 11" xfId="1320"/>
    <cellStyle name="Normal 12 12" xfId="1343"/>
    <cellStyle name="Normal 12 13" xfId="2698"/>
    <cellStyle name="Normal 12 2" xfId="482"/>
    <cellStyle name="Normal 12 3" xfId="484"/>
    <cellStyle name="Normal 12 4" xfId="485"/>
    <cellStyle name="Normal 12 5" xfId="486"/>
    <cellStyle name="Normal 12 6" xfId="487"/>
    <cellStyle name="Normal 12 7" xfId="1300"/>
    <cellStyle name="Normal 12 8" xfId="1340"/>
    <cellStyle name="Normal 12 9" xfId="1321"/>
    <cellStyle name="Normal 127 110" xfId="4203"/>
    <cellStyle name="Normal 13" xfId="44"/>
    <cellStyle name="Normal 13 10" xfId="1339"/>
    <cellStyle name="Normal 13 11" xfId="1322"/>
    <cellStyle name="Normal 13 12" xfId="1341"/>
    <cellStyle name="Normal 13 13" xfId="2701"/>
    <cellStyle name="Normal 13 2" xfId="488"/>
    <cellStyle name="Normal 13 2 2" xfId="79"/>
    <cellStyle name="Normal 13 2 2 2" xfId="899"/>
    <cellStyle name="Normal 13 2 2 3" xfId="1502"/>
    <cellStyle name="Normal 13 2 2 4" xfId="1649"/>
    <cellStyle name="Normal 13 2 2 5" xfId="1877"/>
    <cellStyle name="Normal 13 2 2 6" xfId="2095"/>
    <cellStyle name="Normal 13 2 2 7" xfId="2308"/>
    <cellStyle name="Normal 13 2 2 8" xfId="2514"/>
    <cellStyle name="Normal 13 2 3" xfId="959"/>
    <cellStyle name="Normal 13 2 4" xfId="201"/>
    <cellStyle name="Normal 13 2 5" xfId="1206"/>
    <cellStyle name="Normal 13 2 6" xfId="1478"/>
    <cellStyle name="Normal 13 2 7" xfId="1125"/>
    <cellStyle name="Normal 13 2 8" xfId="1379"/>
    <cellStyle name="Normal 13 2 9" xfId="1294"/>
    <cellStyle name="Normal 13 3" xfId="489"/>
    <cellStyle name="Normal 13 4" xfId="490"/>
    <cellStyle name="Normal 13 5" xfId="491"/>
    <cellStyle name="Normal 13 6" xfId="492"/>
    <cellStyle name="Normal 13 7" xfId="1302"/>
    <cellStyle name="Normal 13 8" xfId="1337"/>
    <cellStyle name="Normal 13 9" xfId="1323"/>
    <cellStyle name="Normal 14" xfId="47"/>
    <cellStyle name="Normal 14 2" xfId="493"/>
    <cellStyle name="Normal 14 3" xfId="1303"/>
    <cellStyle name="Normal 14 4" xfId="1334"/>
    <cellStyle name="Normal 14 5" xfId="1326"/>
    <cellStyle name="Normal 14 6" xfId="1336"/>
    <cellStyle name="Normal 14 7" xfId="1324"/>
    <cellStyle name="Normal 14 8" xfId="1338"/>
    <cellStyle name="Normal 14 9" xfId="2704"/>
    <cellStyle name="Normal 15" xfId="50"/>
    <cellStyle name="Normal 15 2" xfId="494"/>
    <cellStyle name="Normal 15 3" xfId="1304"/>
    <cellStyle name="Normal 15 4" xfId="1332"/>
    <cellStyle name="Normal 15 5" xfId="1327"/>
    <cellStyle name="Normal 15 6" xfId="1335"/>
    <cellStyle name="Normal 15 7" xfId="1325"/>
    <cellStyle name="Normal 15 8" xfId="1707"/>
    <cellStyle name="Normal 15 9" xfId="2707"/>
    <cellStyle name="Normal 158" xfId="4205"/>
    <cellStyle name="Normal 16" xfId="53"/>
    <cellStyle name="Normal 16 2" xfId="496"/>
    <cellStyle name="Normal 16 3" xfId="1305"/>
    <cellStyle name="Normal 16 4" xfId="1330"/>
    <cellStyle name="Normal 16 5" xfId="1329"/>
    <cellStyle name="Normal 16 6" xfId="1331"/>
    <cellStyle name="Normal 16 7" xfId="1328"/>
    <cellStyle name="Normal 16 8" xfId="1333"/>
    <cellStyle name="Normal 16 9" xfId="2710"/>
    <cellStyle name="Normal 17" xfId="497"/>
    <cellStyle name="Normal 17 2" xfId="498"/>
    <cellStyle name="Normal 18" xfId="499"/>
    <cellStyle name="Normal 18 2" xfId="500"/>
    <cellStyle name="Normal 19" xfId="501"/>
    <cellStyle name="Normal 2" xfId="13"/>
    <cellStyle name="Normal 2 10" xfId="503"/>
    <cellStyle name="Normal 2 10 2" xfId="504"/>
    <cellStyle name="Normal 2 10 3" xfId="505"/>
    <cellStyle name="Normal 2 10 4" xfId="506"/>
    <cellStyle name="Normal 2 10 5" xfId="507"/>
    <cellStyle name="Normal 2 10 6" xfId="508"/>
    <cellStyle name="Normal 2 11" xfId="509"/>
    <cellStyle name="Normal 2 11 2" xfId="510"/>
    <cellStyle name="Normal 2 11 3" xfId="511"/>
    <cellStyle name="Normal 2 11 4" xfId="512"/>
    <cellStyle name="Normal 2 11 5" xfId="513"/>
    <cellStyle name="Normal 2 11 6" xfId="514"/>
    <cellStyle name="Normal 2 12" xfId="515"/>
    <cellStyle name="Normal 2 12 2" xfId="516"/>
    <cellStyle name="Normal 2 12 3" xfId="517"/>
    <cellStyle name="Normal 2 12 4" xfId="518"/>
    <cellStyle name="Normal 2 12 5" xfId="519"/>
    <cellStyle name="Normal 2 12 6" xfId="520"/>
    <cellStyle name="Normal 2 13" xfId="521"/>
    <cellStyle name="Normal 2 13 2" xfId="522"/>
    <cellStyle name="Normal 2 13 3" xfId="523"/>
    <cellStyle name="Normal 2 13 4" xfId="524"/>
    <cellStyle name="Normal 2 13 5" xfId="525"/>
    <cellStyle name="Normal 2 13 6" xfId="526"/>
    <cellStyle name="Normal 2 14" xfId="527"/>
    <cellStyle name="Normal 2 14 2" xfId="528"/>
    <cellStyle name="Normal 2 14 3" xfId="529"/>
    <cellStyle name="Normal 2 14 4" xfId="530"/>
    <cellStyle name="Normal 2 14 5" xfId="531"/>
    <cellStyle name="Normal 2 14 6" xfId="532"/>
    <cellStyle name="Normal 2 15" xfId="533"/>
    <cellStyle name="Normal 2 15 2" xfId="534"/>
    <cellStyle name="Normal 2 15 3" xfId="535"/>
    <cellStyle name="Normal 2 15 4" xfId="536"/>
    <cellStyle name="Normal 2 15 5" xfId="537"/>
    <cellStyle name="Normal 2 15 6" xfId="538"/>
    <cellStyle name="Normal 2 16" xfId="539"/>
    <cellStyle name="Normal 2 16 2" xfId="540"/>
    <cellStyle name="Normal 2 16 3" xfId="541"/>
    <cellStyle name="Normal 2 16 4" xfId="542"/>
    <cellStyle name="Normal 2 16 5" xfId="543"/>
    <cellStyle name="Normal 2 16 6" xfId="544"/>
    <cellStyle name="Normal 2 17" xfId="545"/>
    <cellStyle name="Normal 2 17 2" xfId="546"/>
    <cellStyle name="Normal 2 17 3" xfId="547"/>
    <cellStyle name="Normal 2 17 4" xfId="548"/>
    <cellStyle name="Normal 2 17 5" xfId="549"/>
    <cellStyle name="Normal 2 17 6" xfId="550"/>
    <cellStyle name="Normal 2 18" xfId="551"/>
    <cellStyle name="Normal 2 18 2" xfId="552"/>
    <cellStyle name="Normal 2 18 3" xfId="553"/>
    <cellStyle name="Normal 2 18 4" xfId="554"/>
    <cellStyle name="Normal 2 18 5" xfId="555"/>
    <cellStyle name="Normal 2 18 6" xfId="556"/>
    <cellStyle name="Normal 2 19" xfId="557"/>
    <cellStyle name="Normal 2 19 2" xfId="558"/>
    <cellStyle name="Normal 2 19 3" xfId="559"/>
    <cellStyle name="Normal 2 19 4" xfId="560"/>
    <cellStyle name="Normal 2 19 5" xfId="561"/>
    <cellStyle name="Normal 2 19 6" xfId="562"/>
    <cellStyle name="Normal 2 2" xfId="76"/>
    <cellStyle name="Normal 2 2 10" xfId="564"/>
    <cellStyle name="Normal 2 2 11" xfId="565"/>
    <cellStyle name="Normal 2 2 12" xfId="566"/>
    <cellStyle name="Normal 2 2 13" xfId="567"/>
    <cellStyle name="Normal 2 2 14" xfId="568"/>
    <cellStyle name="Normal 2 2 15" xfId="569"/>
    <cellStyle name="Normal 2 2 16" xfId="570"/>
    <cellStyle name="Normal 2 2 17" xfId="571"/>
    <cellStyle name="Normal 2 2 18" xfId="572"/>
    <cellStyle name="Normal 2 2 19" xfId="573"/>
    <cellStyle name="Normal 2 2 2" xfId="563"/>
    <cellStyle name="Normal 2 2 2 12 2" xfId="4206"/>
    <cellStyle name="Normal 2 2 2 2" xfId="575"/>
    <cellStyle name="Normal 2 2 20" xfId="576"/>
    <cellStyle name="Normal 2 2 21" xfId="577"/>
    <cellStyle name="Normal 2 2 22" xfId="578"/>
    <cellStyle name="Normal 2 2 23" xfId="579"/>
    <cellStyle name="Normal 2 2 24" xfId="580"/>
    <cellStyle name="Normal 2 2 25" xfId="581"/>
    <cellStyle name="Normal 2 2 26" xfId="582"/>
    <cellStyle name="Normal 2 2 26 2" xfId="583"/>
    <cellStyle name="Normal 2 2 27" xfId="584"/>
    <cellStyle name="Normal 2 2 28" xfId="585"/>
    <cellStyle name="Normal 2 2 29" xfId="586"/>
    <cellStyle name="Normal 2 2 3" xfId="587"/>
    <cellStyle name="Normal 2 2 30" xfId="588"/>
    <cellStyle name="Normal 2 2 31" xfId="1317"/>
    <cellStyle name="Normal 2 2 32" xfId="1311"/>
    <cellStyle name="Normal 2 2 33" xfId="1454"/>
    <cellStyle name="Normal 2 2 34" xfId="1144"/>
    <cellStyle name="Normal 2 2 35" xfId="1128"/>
    <cellStyle name="Normal 2 2 36" xfId="1372"/>
    <cellStyle name="Normal 2 2 37" xfId="4202"/>
    <cellStyle name="Normal 2 2 4" xfId="589"/>
    <cellStyle name="Normal 2 2 5" xfId="590"/>
    <cellStyle name="Normal 2 2 6" xfId="591"/>
    <cellStyle name="Normal 2 2 7" xfId="592"/>
    <cellStyle name="Normal 2 2 8" xfId="593"/>
    <cellStyle name="Normal 2 2 9" xfId="594"/>
    <cellStyle name="Normal 2 2_Sheet4" xfId="595"/>
    <cellStyle name="Normal 2 20" xfId="596"/>
    <cellStyle name="Normal 2 20 2" xfId="597"/>
    <cellStyle name="Normal 2 20 3" xfId="598"/>
    <cellStyle name="Normal 2 20 4" xfId="599"/>
    <cellStyle name="Normal 2 20 5" xfId="600"/>
    <cellStyle name="Normal 2 20 6" xfId="601"/>
    <cellStyle name="Normal 2 21" xfId="602"/>
    <cellStyle name="Normal 2 21 2" xfId="603"/>
    <cellStyle name="Normal 2 21 3" xfId="604"/>
    <cellStyle name="Normal 2 21 4" xfId="605"/>
    <cellStyle name="Normal 2 21 5" xfId="606"/>
    <cellStyle name="Normal 2 21 6" xfId="607"/>
    <cellStyle name="Normal 2 22" xfId="608"/>
    <cellStyle name="Normal 2 22 2" xfId="609"/>
    <cellStyle name="Normal 2 22 3" xfId="610"/>
    <cellStyle name="Normal 2 22 4" xfId="611"/>
    <cellStyle name="Normal 2 22 5" xfId="612"/>
    <cellStyle name="Normal 2 22 6" xfId="613"/>
    <cellStyle name="Normal 2 23" xfId="614"/>
    <cellStyle name="Normal 2 23 2" xfId="615"/>
    <cellStyle name="Normal 2 23 3" xfId="616"/>
    <cellStyle name="Normal 2 23 4" xfId="617"/>
    <cellStyle name="Normal 2 23 5" xfId="618"/>
    <cellStyle name="Normal 2 23 6" xfId="619"/>
    <cellStyle name="Normal 2 24" xfId="620"/>
    <cellStyle name="Normal 2 24 2" xfId="621"/>
    <cellStyle name="Normal 2 24 3" xfId="622"/>
    <cellStyle name="Normal 2 24 4" xfId="623"/>
    <cellStyle name="Normal 2 24 5" xfId="624"/>
    <cellStyle name="Normal 2 24 6" xfId="625"/>
    <cellStyle name="Normal 2 25" xfId="626"/>
    <cellStyle name="Normal 2 25 2" xfId="627"/>
    <cellStyle name="Normal 2 25 3" xfId="628"/>
    <cellStyle name="Normal 2 25 4" xfId="629"/>
    <cellStyle name="Normal 2 25 5" xfId="630"/>
    <cellStyle name="Normal 2 25 6" xfId="631"/>
    <cellStyle name="Normal 2 26" xfId="632"/>
    <cellStyle name="Normal 2 26 2" xfId="633"/>
    <cellStyle name="Normal 2 26 3" xfId="634"/>
    <cellStyle name="Normal 2 26 4" xfId="635"/>
    <cellStyle name="Normal 2 26 5" xfId="636"/>
    <cellStyle name="Normal 2 26 6" xfId="637"/>
    <cellStyle name="Normal 2 27" xfId="638"/>
    <cellStyle name="Normal 2 27 2" xfId="639"/>
    <cellStyle name="Normal 2 27 3" xfId="640"/>
    <cellStyle name="Normal 2 27 4" xfId="641"/>
    <cellStyle name="Normal 2 27 5" xfId="642"/>
    <cellStyle name="Normal 2 27 6" xfId="643"/>
    <cellStyle name="Normal 2 28" xfId="644"/>
    <cellStyle name="Normal 2 28 2" xfId="645"/>
    <cellStyle name="Normal 2 28 3" xfId="646"/>
    <cellStyle name="Normal 2 28 4" xfId="647"/>
    <cellStyle name="Normal 2 28 5" xfId="648"/>
    <cellStyle name="Normal 2 28 6" xfId="649"/>
    <cellStyle name="Normal 2 29" xfId="650"/>
    <cellStyle name="Normal 2 29 2" xfId="651"/>
    <cellStyle name="Normal 2 29 3" xfId="652"/>
    <cellStyle name="Normal 2 29 4" xfId="653"/>
    <cellStyle name="Normal 2 29 5" xfId="654"/>
    <cellStyle name="Normal 2 29 6" xfId="655"/>
    <cellStyle name="Normal 2 3" xfId="656"/>
    <cellStyle name="Normal 2 30" xfId="657"/>
    <cellStyle name="Normal 2 30 2" xfId="658"/>
    <cellStyle name="Normal 2 30 3" xfId="659"/>
    <cellStyle name="Normal 2 30 4" xfId="660"/>
    <cellStyle name="Normal 2 30 5" xfId="661"/>
    <cellStyle name="Normal 2 30 6" xfId="662"/>
    <cellStyle name="Normal 2 31" xfId="663"/>
    <cellStyle name="Normal 2 31 2" xfId="664"/>
    <cellStyle name="Normal 2 31 3" xfId="665"/>
    <cellStyle name="Normal 2 31 4" xfId="666"/>
    <cellStyle name="Normal 2 31 5" xfId="667"/>
    <cellStyle name="Normal 2 32" xfId="668"/>
    <cellStyle name="Normal 2 33" xfId="669"/>
    <cellStyle name="Normal 2 34" xfId="670"/>
    <cellStyle name="Normal 2 35" xfId="840"/>
    <cellStyle name="Normal 2 36" xfId="877"/>
    <cellStyle name="Normal 2 37" xfId="956"/>
    <cellStyle name="Normal 2 38" xfId="750"/>
    <cellStyle name="Normal 2 39" xfId="1214"/>
    <cellStyle name="Normal 2 4" xfId="671"/>
    <cellStyle name="Normal 2 4 2" xfId="4198"/>
    <cellStyle name="Normal 2 4 2 110" xfId="4200"/>
    <cellStyle name="Normal 2 40" xfId="1404"/>
    <cellStyle name="Normal 2 41" xfId="1102"/>
    <cellStyle name="Normal 2 42" xfId="1839"/>
    <cellStyle name="Normal 2 43" xfId="2056"/>
    <cellStyle name="Normal 2 44" xfId="2681"/>
    <cellStyle name="Normal 2 45" xfId="4201"/>
    <cellStyle name="Normal 2 46" xfId="4197"/>
    <cellStyle name="Normal 2 46 2" xfId="4199"/>
    <cellStyle name="Normal 2 47" xfId="4211"/>
    <cellStyle name="Normal 2 48" xfId="4212"/>
    <cellStyle name="Normal 2 49" xfId="7158"/>
    <cellStyle name="Normal 2 5" xfId="672"/>
    <cellStyle name="Normal 2 50" xfId="7159"/>
    <cellStyle name="Normal 2 59" xfId="7157"/>
    <cellStyle name="Normal 2 6" xfId="673"/>
    <cellStyle name="Normal 2 7" xfId="674"/>
    <cellStyle name="Normal 2 7 2" xfId="675"/>
    <cellStyle name="Normal 2 7 3" xfId="676"/>
    <cellStyle name="Normal 2 7 4" xfId="677"/>
    <cellStyle name="Normal 2 7 5" xfId="678"/>
    <cellStyle name="Normal 2 7 6" xfId="679"/>
    <cellStyle name="Normal 2 8" xfId="680"/>
    <cellStyle name="Normal 2 8 2" xfId="681"/>
    <cellStyle name="Normal 2 8 3" xfId="682"/>
    <cellStyle name="Normal 2 8 4" xfId="683"/>
    <cellStyle name="Normal 2 8 5" xfId="684"/>
    <cellStyle name="Normal 2 8 6" xfId="685"/>
    <cellStyle name="Normal 2 9" xfId="686"/>
    <cellStyle name="Normal 2 9 2" xfId="687"/>
    <cellStyle name="Normal 2 9 3" xfId="688"/>
    <cellStyle name="Normal 2 9 4" xfId="689"/>
    <cellStyle name="Normal 2 9 5" xfId="690"/>
    <cellStyle name="Normal 2 9 6" xfId="691"/>
    <cellStyle name="Normal 2_Notes" xfId="502"/>
    <cellStyle name="Normal 20" xfId="692"/>
    <cellStyle name="Normal 20 2" xfId="693"/>
    <cellStyle name="Normal 21" xfId="694"/>
    <cellStyle name="Normal 21 2" xfId="695"/>
    <cellStyle name="Normal 22" xfId="78"/>
    <cellStyle name="Normal 22 2" xfId="900"/>
    <cellStyle name="Normal 22 3" xfId="958"/>
    <cellStyle name="Normal 23" xfId="696"/>
    <cellStyle name="Normal 24" xfId="697"/>
    <cellStyle name="Normal 25" xfId="698"/>
    <cellStyle name="Normal 26" xfId="699"/>
    <cellStyle name="Normal 27" xfId="337"/>
    <cellStyle name="Normal 28" xfId="7156"/>
    <cellStyle name="Normal 3" xfId="1"/>
    <cellStyle name="Normal 3 2" xfId="59"/>
    <cellStyle name="Normal 3 2 2" xfId="701"/>
    <cellStyle name="Normal 3 2 3" xfId="1373"/>
    <cellStyle name="Normal 3 2 4" xfId="1116"/>
    <cellStyle name="Normal 3 2 5" xfId="1182"/>
    <cellStyle name="Normal 3 2 6" xfId="1430"/>
    <cellStyle name="Normal 3 2 7" xfId="1535"/>
    <cellStyle name="Normal 3 2 8" xfId="1383"/>
    <cellStyle name="Normal 3 2 9" xfId="2713"/>
    <cellStyle name="Normal 3 3" xfId="702"/>
    <cellStyle name="Normal 3 4" xfId="703"/>
    <cellStyle name="Normal 3 5" xfId="704"/>
    <cellStyle name="Normal 3 6" xfId="705"/>
    <cellStyle name="Normal 3 7" xfId="990"/>
    <cellStyle name="Normal 3_Notes" xfId="700"/>
    <cellStyle name="Normal 30" xfId="338"/>
    <cellStyle name="Normal 34 2" xfId="706"/>
    <cellStyle name="Normal 35 2" xfId="707"/>
    <cellStyle name="Normal 36 2" xfId="708"/>
    <cellStyle name="Normal 37 2" xfId="709"/>
    <cellStyle name="Normal 38" xfId="710"/>
    <cellStyle name="Normal 39" xfId="711"/>
    <cellStyle name="Normal 4" xfId="17"/>
    <cellStyle name="Normal 4 10" xfId="1142"/>
    <cellStyle name="Normal 4 11" xfId="1174"/>
    <cellStyle name="Normal 4 12" xfId="1233"/>
    <cellStyle name="Normal 4 13" xfId="1212"/>
    <cellStyle name="Normal 4 14" xfId="1406"/>
    <cellStyle name="Normal 4 15" xfId="1705"/>
    <cellStyle name="Normal 4 2" xfId="63"/>
    <cellStyle name="Normal 4 2 2" xfId="713"/>
    <cellStyle name="Normal 4 2 3" xfId="1376"/>
    <cellStyle name="Normal 4 2 4" xfId="1548"/>
    <cellStyle name="Normal 4 2 5" xfId="1186"/>
    <cellStyle name="Normal 4 2 6" xfId="1147"/>
    <cellStyle name="Normal 4 2 7" xfId="1279"/>
    <cellStyle name="Normal 4 2 8" xfId="1189"/>
    <cellStyle name="Normal 4 2 9" xfId="2717"/>
    <cellStyle name="Normal 4 3" xfId="202"/>
    <cellStyle name="Normal 4 3 2" xfId="714"/>
    <cellStyle name="Normal 4 3 3" xfId="1377"/>
    <cellStyle name="Normal 4 3 4" xfId="1276"/>
    <cellStyle name="Normal 4 3 5" xfId="1187"/>
    <cellStyle name="Normal 4 3 6" xfId="1146"/>
    <cellStyle name="Normal 4 3 7" xfId="1500"/>
    <cellStyle name="Normal 4 3 8" xfId="1188"/>
    <cellStyle name="Normal 4 4" xfId="715"/>
    <cellStyle name="Normal 4 5" xfId="716"/>
    <cellStyle name="Normal 4 6" xfId="717"/>
    <cellStyle name="Normal 4 7" xfId="870"/>
    <cellStyle name="Normal 4 8" xfId="881"/>
    <cellStyle name="Normal 4 9" xfId="991"/>
    <cellStyle name="Normal 4_Notes" xfId="712"/>
    <cellStyle name="Normal 40" xfId="718"/>
    <cellStyle name="Normal 41" xfId="719"/>
    <cellStyle name="Normal 42" xfId="720"/>
    <cellStyle name="Normal 43" xfId="721"/>
    <cellStyle name="Normal 44" xfId="722"/>
    <cellStyle name="Normal 45" xfId="723"/>
    <cellStyle name="Normal 46" xfId="724"/>
    <cellStyle name="Normal 47" xfId="725"/>
    <cellStyle name="Normal 48" xfId="726"/>
    <cellStyle name="Normal 49" xfId="727"/>
    <cellStyle name="Normal 5" xfId="20"/>
    <cellStyle name="Normal 5 2" xfId="66"/>
    <cellStyle name="Normal 5 2 2" xfId="729"/>
    <cellStyle name="Normal 5 2 3" xfId="1385"/>
    <cellStyle name="Normal 5 2 4" xfId="1270"/>
    <cellStyle name="Normal 5 2 5" xfId="1389"/>
    <cellStyle name="Normal 5 2 6" xfId="211"/>
    <cellStyle name="Normal 5 2 7" xfId="1362"/>
    <cellStyle name="Normal 5 2 8" xfId="1306"/>
    <cellStyle name="Normal 5 2 9" xfId="2720"/>
    <cellStyle name="Normal 5 3" xfId="730"/>
    <cellStyle name="Normal 5 4" xfId="731"/>
    <cellStyle name="Normal 5 5" xfId="732"/>
    <cellStyle name="Normal 5 6" xfId="733"/>
    <cellStyle name="Normal 5 7" xfId="871"/>
    <cellStyle name="Normal 5 8" xfId="882"/>
    <cellStyle name="Normal 5 9" xfId="992"/>
    <cellStyle name="Normal 5_Notes" xfId="728"/>
    <cellStyle name="Normal 50" xfId="734"/>
    <cellStyle name="Normal 51" xfId="735"/>
    <cellStyle name="Normal 52" xfId="736"/>
    <cellStyle name="Normal 53" xfId="737"/>
    <cellStyle name="Normal 54" xfId="738"/>
    <cellStyle name="Normal 55" xfId="739"/>
    <cellStyle name="Normal 56" xfId="740"/>
    <cellStyle name="Normal 57" xfId="741"/>
    <cellStyle name="Normal 58" xfId="742"/>
    <cellStyle name="Normal 59" xfId="743"/>
    <cellStyle name="Normal 6" xfId="23"/>
    <cellStyle name="Normal 6 2" xfId="69"/>
    <cellStyle name="Normal 6 2 2" xfId="2723"/>
    <cellStyle name="Normal 60" xfId="744"/>
    <cellStyle name="Normal 61" xfId="745"/>
    <cellStyle name="Normal 62" xfId="746"/>
    <cellStyle name="Normal 63" xfId="747"/>
    <cellStyle name="Normal 64 2" xfId="748"/>
    <cellStyle name="Normal 7" xfId="26"/>
    <cellStyle name="Normal 7 10" xfId="2683"/>
    <cellStyle name="Normal 7 2" xfId="75"/>
    <cellStyle name="Normal 7 2 10" xfId="1193"/>
    <cellStyle name="Normal 7 2 11" xfId="1428"/>
    <cellStyle name="Normal 7 2 12" xfId="1115"/>
    <cellStyle name="Normal 7 2 13" xfId="1183"/>
    <cellStyle name="Normal 7 2 2" xfId="749"/>
    <cellStyle name="Normal 7 2 3" xfId="751"/>
    <cellStyle name="Normal 7 2 4" xfId="752"/>
    <cellStyle name="Normal 7 2 5" xfId="753"/>
    <cellStyle name="Normal 7 2 6" xfId="754"/>
    <cellStyle name="Normal 7 2 7" xfId="901"/>
    <cellStyle name="Normal 7 2 8" xfId="1401"/>
    <cellStyle name="Normal 7 2 9" xfId="1255"/>
    <cellStyle name="Normal 7 3" xfId="755"/>
    <cellStyle name="Normal 7 3 2" xfId="756"/>
    <cellStyle name="Normal 7 3 3" xfId="757"/>
    <cellStyle name="Normal 7 3 4" xfId="758"/>
    <cellStyle name="Normal 7 3 5" xfId="759"/>
    <cellStyle name="Normal 7 3 6" xfId="760"/>
    <cellStyle name="Normal 7 4" xfId="766"/>
    <cellStyle name="Normal 7 5" xfId="1215"/>
    <cellStyle name="Normal 7 6" xfId="1503"/>
    <cellStyle name="Normal 7 7" xfId="1282"/>
    <cellStyle name="Normal 7 8" xfId="1374"/>
    <cellStyle name="Normal 7 9" xfId="1298"/>
    <cellStyle name="Normal 7_Current Liabilities" xfId="761"/>
    <cellStyle name="Normal 71" xfId="762"/>
    <cellStyle name="Normal 72" xfId="763"/>
    <cellStyle name="Normal 73" xfId="764"/>
    <cellStyle name="Normal 8" xfId="29"/>
    <cellStyle name="Normal 8 10" xfId="1245"/>
    <cellStyle name="Normal 8 11" xfId="1201"/>
    <cellStyle name="Normal 8 12" xfId="1416"/>
    <cellStyle name="Normal 8 13" xfId="1122"/>
    <cellStyle name="Normal 8 14" xfId="184"/>
    <cellStyle name="Normal 8 15" xfId="2686"/>
    <cellStyle name="Normal 8 2" xfId="765"/>
    <cellStyle name="Normal 8 3" xfId="767"/>
    <cellStyle name="Normal 8 4" xfId="768"/>
    <cellStyle name="Normal 8 5" xfId="769"/>
    <cellStyle name="Normal 8 6" xfId="770"/>
    <cellStyle name="Normal 8 7" xfId="856"/>
    <cellStyle name="Normal 8 8" xfId="865"/>
    <cellStyle name="Normal 8 9" xfId="1409"/>
    <cellStyle name="Normal 8_Sch-3" xfId="824"/>
    <cellStyle name="Normal 9" xfId="33"/>
    <cellStyle name="Normal 9 10" xfId="864"/>
    <cellStyle name="Normal 9 11" xfId="1413"/>
    <cellStyle name="Normal 9 12" xfId="1242"/>
    <cellStyle name="Normal 9 13" xfId="1208"/>
    <cellStyle name="Normal 9 14" xfId="1412"/>
    <cellStyle name="Normal 9 15" xfId="1126"/>
    <cellStyle name="Normal 9 16" xfId="1378"/>
    <cellStyle name="Normal 9 17" xfId="2690"/>
    <cellStyle name="Normal 9 2" xfId="771"/>
    <cellStyle name="Normal 9 2 2" xfId="773"/>
    <cellStyle name="Normal 9 2 3" xfId="774"/>
    <cellStyle name="Normal 9 2 4" xfId="775"/>
    <cellStyle name="Normal 9 2 5" xfId="776"/>
    <cellStyle name="Normal 9 2 6" xfId="777"/>
    <cellStyle name="Normal 9 3" xfId="778"/>
    <cellStyle name="Normal 9 3 2" xfId="779"/>
    <cellStyle name="Normal 9 3 3" xfId="780"/>
    <cellStyle name="Normal 9 3 4" xfId="781"/>
    <cellStyle name="Normal 9 3 5" xfId="782"/>
    <cellStyle name="Normal 9 3 6" xfId="783"/>
    <cellStyle name="Normal 9 4" xfId="784"/>
    <cellStyle name="Normal 9 4 2" xfId="785"/>
    <cellStyle name="Normal 9 4 3" xfId="786"/>
    <cellStyle name="Normal 9 4 4" xfId="787"/>
    <cellStyle name="Normal 9 4 5" xfId="788"/>
    <cellStyle name="Normal 9 5" xfId="789"/>
    <cellStyle name="Normal 9 6" xfId="790"/>
    <cellStyle name="Normal 9 7" xfId="791"/>
    <cellStyle name="Normal 9 8" xfId="792"/>
    <cellStyle name="Normal 9 9" xfId="857"/>
    <cellStyle name="Normal 9_Sch-3" xfId="825"/>
    <cellStyle name="Normal_01- ARR Forms 04-05 Final " xfId="56"/>
    <cellStyle name="Normal_01- Tariff Proposal Forms" xfId="57"/>
    <cellStyle name="Normal_MONTHLY_INDEX" xfId="4204"/>
    <cellStyle name="Normalny_P Ls_Poland_August 2007" xfId="204"/>
    <cellStyle name="Note 2" xfId="793"/>
    <cellStyle name="Note 2 10" xfId="2475"/>
    <cellStyle name="Note 2 10 2" xfId="4100"/>
    <cellStyle name="Note 2 10 2 2" xfId="7055"/>
    <cellStyle name="Note 2 10 3" xfId="5507"/>
    <cellStyle name="Note 2 11" xfId="2780"/>
    <cellStyle name="Note 2 11 2" xfId="5768"/>
    <cellStyle name="Note 2 2" xfId="873"/>
    <cellStyle name="Note 2 2 2" xfId="1049"/>
    <cellStyle name="Note 2 2 2 2" xfId="1789"/>
    <cellStyle name="Note 2 2 2 2 2" xfId="3460"/>
    <cellStyle name="Note 2 2 2 2 2 2" xfId="6429"/>
    <cellStyle name="Note 2 2 2 2 3" xfId="4864"/>
    <cellStyle name="Note 2 2 2 3" xfId="2012"/>
    <cellStyle name="Note 2 2 2 3 2" xfId="3664"/>
    <cellStyle name="Note 2 2 2 3 2 2" xfId="6628"/>
    <cellStyle name="Note 2 2 2 3 3" xfId="5064"/>
    <cellStyle name="Note 2 2 2 4" xfId="2228"/>
    <cellStyle name="Note 2 2 2 4 2" xfId="3866"/>
    <cellStyle name="Note 2 2 2 4 2 2" xfId="6824"/>
    <cellStyle name="Note 2 2 2 4 3" xfId="5269"/>
    <cellStyle name="Note 2 2 2 5" xfId="2440"/>
    <cellStyle name="Note 2 2 2 5 2" xfId="4065"/>
    <cellStyle name="Note 2 2 2 5 2 2" xfId="7020"/>
    <cellStyle name="Note 2 2 2 5 3" xfId="5472"/>
    <cellStyle name="Note 2 2 2 6" xfId="2644"/>
    <cellStyle name="Note 2 2 2 6 2" xfId="4194"/>
    <cellStyle name="Note 2 2 2 6 2 2" xfId="7149"/>
    <cellStyle name="Note 2 2 2 6 3" xfId="5670"/>
    <cellStyle name="Note 2 2 2 7" xfId="2941"/>
    <cellStyle name="Note 2 2 2 7 2" xfId="5926"/>
    <cellStyle name="Note 2 2 2 8" xfId="4393"/>
    <cellStyle name="Note 2 2 3" xfId="1080"/>
    <cellStyle name="Note 2 2 3 2" xfId="1641"/>
    <cellStyle name="Note 2 2 3 2 2" xfId="3322"/>
    <cellStyle name="Note 2 2 3 2 2 2" xfId="6293"/>
    <cellStyle name="Note 2 2 3 2 3" xfId="4761"/>
    <cellStyle name="Note 2 2 3 3" xfId="1820"/>
    <cellStyle name="Note 2 2 3 3 2" xfId="3491"/>
    <cellStyle name="Note 2 2 3 3 2 2" xfId="6460"/>
    <cellStyle name="Note 2 2 3 3 3" xfId="4885"/>
    <cellStyle name="Note 2 2 3 4" xfId="2043"/>
    <cellStyle name="Note 2 2 3 4 2" xfId="3695"/>
    <cellStyle name="Note 2 2 3 4 2 2" xfId="6659"/>
    <cellStyle name="Note 2 2 3 4 3" xfId="5095"/>
    <cellStyle name="Note 2 2 3 5" xfId="2259"/>
    <cellStyle name="Note 2 2 3 5 2" xfId="3897"/>
    <cellStyle name="Note 2 2 3 5 2 2" xfId="6855"/>
    <cellStyle name="Note 2 2 3 5 3" xfId="5300"/>
    <cellStyle name="Note 2 2 3 6" xfId="2471"/>
    <cellStyle name="Note 2 2 3 6 2" xfId="4096"/>
    <cellStyle name="Note 2 2 3 6 2 2" xfId="7051"/>
    <cellStyle name="Note 2 2 3 6 3" xfId="5503"/>
    <cellStyle name="Note 2 2 3 7" xfId="2675"/>
    <cellStyle name="Note 2 2 3 7 2" xfId="5701"/>
    <cellStyle name="Note 2 2 3 8" xfId="2972"/>
    <cellStyle name="Note 2 2 3 8 2" xfId="5957"/>
    <cellStyle name="Note 2 2 4" xfId="146"/>
    <cellStyle name="Note 2 2 4 2" xfId="2728"/>
    <cellStyle name="Note 2 2 4 2 2" xfId="5719"/>
    <cellStyle name="Note 2 2 4 3" xfId="4237"/>
    <cellStyle name="Note 2 2 5" xfId="1865"/>
    <cellStyle name="Note 2 2 5 2" xfId="3526"/>
    <cellStyle name="Note 2 2 5 2 2" xfId="6494"/>
    <cellStyle name="Note 2 2 5 3" xfId="4922"/>
    <cellStyle name="Note 2 2 6" xfId="2082"/>
    <cellStyle name="Note 2 2 6 2" xfId="3727"/>
    <cellStyle name="Note 2 2 6 2 2" xfId="6690"/>
    <cellStyle name="Note 2 2 6 3" xfId="5129"/>
    <cellStyle name="Note 2 2 7" xfId="2298"/>
    <cellStyle name="Note 2 2 7 2" xfId="3929"/>
    <cellStyle name="Note 2 2 7 2 2" xfId="6886"/>
    <cellStyle name="Note 2 2 7 3" xfId="5334"/>
    <cellStyle name="Note 2 2 8" xfId="2505"/>
    <cellStyle name="Note 2 2 8 2" xfId="4126"/>
    <cellStyle name="Note 2 2 8 2 2" xfId="7081"/>
    <cellStyle name="Note 2 2 8 3" xfId="5535"/>
    <cellStyle name="Note 2 2 9" xfId="2806"/>
    <cellStyle name="Note 2 2 9 2" xfId="5794"/>
    <cellStyle name="Note 2 3" xfId="883"/>
    <cellStyle name="Note 2 3 2" xfId="1053"/>
    <cellStyle name="Note 2 3 2 2" xfId="1793"/>
    <cellStyle name="Note 2 3 2 2 2" xfId="3464"/>
    <cellStyle name="Note 2 3 2 2 2 2" xfId="6433"/>
    <cellStyle name="Note 2 3 2 2 3" xfId="4865"/>
    <cellStyle name="Note 2 3 2 3" xfId="2016"/>
    <cellStyle name="Note 2 3 2 3 2" xfId="3668"/>
    <cellStyle name="Note 2 3 2 3 2 2" xfId="6632"/>
    <cellStyle name="Note 2 3 2 3 3" xfId="5068"/>
    <cellStyle name="Note 2 3 2 4" xfId="2232"/>
    <cellStyle name="Note 2 3 2 4 2" xfId="3870"/>
    <cellStyle name="Note 2 3 2 4 2 2" xfId="6828"/>
    <cellStyle name="Note 2 3 2 4 3" xfId="5273"/>
    <cellStyle name="Note 2 3 2 5" xfId="2444"/>
    <cellStyle name="Note 2 3 2 5 2" xfId="4069"/>
    <cellStyle name="Note 2 3 2 5 2 2" xfId="7024"/>
    <cellStyle name="Note 2 3 2 5 3" xfId="5476"/>
    <cellStyle name="Note 2 3 2 6" xfId="2648"/>
    <cellStyle name="Note 2 3 2 6 2" xfId="4195"/>
    <cellStyle name="Note 2 3 2 6 2 2" xfId="7150"/>
    <cellStyle name="Note 2 3 2 6 3" xfId="5674"/>
    <cellStyle name="Note 2 3 2 7" xfId="2945"/>
    <cellStyle name="Note 2 3 2 7 2" xfId="5930"/>
    <cellStyle name="Note 2 3 2 8" xfId="4394"/>
    <cellStyle name="Note 2 3 3" xfId="1083"/>
    <cellStyle name="Note 2 3 3 2" xfId="1644"/>
    <cellStyle name="Note 2 3 3 2 2" xfId="3325"/>
    <cellStyle name="Note 2 3 3 2 2 2" xfId="6296"/>
    <cellStyle name="Note 2 3 3 2 3" xfId="4764"/>
    <cellStyle name="Note 2 3 3 3" xfId="1823"/>
    <cellStyle name="Note 2 3 3 3 2" xfId="3494"/>
    <cellStyle name="Note 2 3 3 3 2 2" xfId="6463"/>
    <cellStyle name="Note 2 3 3 3 3" xfId="4886"/>
    <cellStyle name="Note 2 3 3 4" xfId="2046"/>
    <cellStyle name="Note 2 3 3 4 2" xfId="3698"/>
    <cellStyle name="Note 2 3 3 4 2 2" xfId="6662"/>
    <cellStyle name="Note 2 3 3 4 3" xfId="5098"/>
    <cellStyle name="Note 2 3 3 5" xfId="2262"/>
    <cellStyle name="Note 2 3 3 5 2" xfId="3900"/>
    <cellStyle name="Note 2 3 3 5 2 2" xfId="6858"/>
    <cellStyle name="Note 2 3 3 5 3" xfId="5303"/>
    <cellStyle name="Note 2 3 3 6" xfId="2474"/>
    <cellStyle name="Note 2 3 3 6 2" xfId="4099"/>
    <cellStyle name="Note 2 3 3 6 2 2" xfId="7054"/>
    <cellStyle name="Note 2 3 3 6 3" xfId="5506"/>
    <cellStyle name="Note 2 3 3 7" xfId="2678"/>
    <cellStyle name="Note 2 3 3 7 2" xfId="5704"/>
    <cellStyle name="Note 2 3 3 8" xfId="2975"/>
    <cellStyle name="Note 2 3 3 8 2" xfId="5960"/>
    <cellStyle name="Note 2 3 4" xfId="483"/>
    <cellStyle name="Note 2 3 4 2" xfId="2779"/>
    <cellStyle name="Note 2 3 4 2 2" xfId="5767"/>
    <cellStyle name="Note 2 3 4 3" xfId="4318"/>
    <cellStyle name="Note 2 3 5" xfId="1871"/>
    <cellStyle name="Note 2 3 5 2" xfId="3531"/>
    <cellStyle name="Note 2 3 5 2 2" xfId="6498"/>
    <cellStyle name="Note 2 3 5 3" xfId="4928"/>
    <cellStyle name="Note 2 3 6" xfId="2088"/>
    <cellStyle name="Note 2 3 6 2" xfId="3732"/>
    <cellStyle name="Note 2 3 6 2 2" xfId="6694"/>
    <cellStyle name="Note 2 3 6 3" xfId="5135"/>
    <cellStyle name="Note 2 3 7" xfId="2302"/>
    <cellStyle name="Note 2 3 7 2" xfId="3933"/>
    <cellStyle name="Note 2 3 7 2 2" xfId="6890"/>
    <cellStyle name="Note 2 3 7 3" xfId="5338"/>
    <cellStyle name="Note 2 3 8" xfId="2508"/>
    <cellStyle name="Note 2 3 8 2" xfId="4129"/>
    <cellStyle name="Note 2 3 8 2 2" xfId="7084"/>
    <cellStyle name="Note 2 3 8 3" xfId="5538"/>
    <cellStyle name="Note 2 3 9" xfId="2809"/>
    <cellStyle name="Note 2 3 9 2" xfId="5797"/>
    <cellStyle name="Note 2 4" xfId="940"/>
    <cellStyle name="Note 2 4 2" xfId="1690"/>
    <cellStyle name="Note 2 4 2 2" xfId="3366"/>
    <cellStyle name="Note 2 4 2 2 2" xfId="6336"/>
    <cellStyle name="Note 2 4 2 3" xfId="4804"/>
    <cellStyle name="Note 2 4 3" xfId="1917"/>
    <cellStyle name="Note 2 4 3 2" xfId="3571"/>
    <cellStyle name="Note 2 4 3 2 2" xfId="6537"/>
    <cellStyle name="Note 2 4 3 3" xfId="4971"/>
    <cellStyle name="Note 2 4 4" xfId="2135"/>
    <cellStyle name="Note 2 4 4 2" xfId="3773"/>
    <cellStyle name="Note 2 4 4 2 2" xfId="6734"/>
    <cellStyle name="Note 2 4 4 3" xfId="5179"/>
    <cellStyle name="Note 2 4 5" xfId="2348"/>
    <cellStyle name="Note 2 4 5 2" xfId="3973"/>
    <cellStyle name="Note 2 4 5 2 2" xfId="6929"/>
    <cellStyle name="Note 2 4 5 3" xfId="5381"/>
    <cellStyle name="Note 2 4 6" xfId="2553"/>
    <cellStyle name="Note 2 4 6 2" xfId="4162"/>
    <cellStyle name="Note 2 4 6 2 2" xfId="7117"/>
    <cellStyle name="Note 2 4 6 3" xfId="5580"/>
    <cellStyle name="Note 2 4 7" xfId="2849"/>
    <cellStyle name="Note 2 4 7 2" xfId="5836"/>
    <cellStyle name="Note 2 4 8" xfId="4373"/>
    <cellStyle name="Note 2 5" xfId="945"/>
    <cellStyle name="Note 2 5 2" xfId="1524"/>
    <cellStyle name="Note 2 5 2 2" xfId="3209"/>
    <cellStyle name="Note 2 5 2 2 2" xfId="6182"/>
    <cellStyle name="Note 2 5 2 3" xfId="4670"/>
    <cellStyle name="Note 2 5 3" xfId="1695"/>
    <cellStyle name="Note 2 5 3 2" xfId="3371"/>
    <cellStyle name="Note 2 5 3 2 2" xfId="6341"/>
    <cellStyle name="Note 2 5 3 3" xfId="4808"/>
    <cellStyle name="Note 2 5 4" xfId="1922"/>
    <cellStyle name="Note 2 5 4 2" xfId="3576"/>
    <cellStyle name="Note 2 5 4 2 2" xfId="6542"/>
    <cellStyle name="Note 2 5 4 3" xfId="4976"/>
    <cellStyle name="Note 2 5 5" xfId="2140"/>
    <cellStyle name="Note 2 5 5 2" xfId="3778"/>
    <cellStyle name="Note 2 5 5 2 2" xfId="6739"/>
    <cellStyle name="Note 2 5 5 3" xfId="5184"/>
    <cellStyle name="Note 2 5 6" xfId="2353"/>
    <cellStyle name="Note 2 5 6 2" xfId="3978"/>
    <cellStyle name="Note 2 5 6 2 2" xfId="6934"/>
    <cellStyle name="Note 2 5 6 3" xfId="5386"/>
    <cellStyle name="Note 2 5 7" xfId="2558"/>
    <cellStyle name="Note 2 5 7 2" xfId="5585"/>
    <cellStyle name="Note 2 5 8" xfId="2854"/>
    <cellStyle name="Note 2 5 8 2" xfId="5841"/>
    <cellStyle name="Note 2 6" xfId="1230"/>
    <cellStyle name="Note 2 6 2" xfId="3061"/>
    <cellStyle name="Note 2 6 2 2" xfId="6041"/>
    <cellStyle name="Note 2 6 3" xfId="4500"/>
    <cellStyle name="Note 2 7" xfId="1826"/>
    <cellStyle name="Note 2 7 2" xfId="3496"/>
    <cellStyle name="Note 2 7 2 2" xfId="6465"/>
    <cellStyle name="Note 2 7 3" xfId="4888"/>
    <cellStyle name="Note 2 8" xfId="2047"/>
    <cellStyle name="Note 2 8 2" xfId="3699"/>
    <cellStyle name="Note 2 8 2 2" xfId="6663"/>
    <cellStyle name="Note 2 8 3" xfId="5099"/>
    <cellStyle name="Note 2 9" xfId="2264"/>
    <cellStyle name="Note 2 9 2" xfId="3901"/>
    <cellStyle name="Note 2 9 2 2" xfId="6859"/>
    <cellStyle name="Note 2 9 3" xfId="5304"/>
    <cellStyle name="oft Excel]_x000d__x000a_Comment=open=/f ‚ðw’è‚·‚é‚ÆAƒ†[ƒU[’è‹`ŠÖ”‚ðŠÖ”“\‚è•t‚¯‚Ìˆê——‚É“o˜^‚·‚é‚±‚Æ‚ª‚Å‚«‚Ü‚·B_x000d__x000a_Maximized" xfId="205"/>
    <cellStyle name="OtherSEEntry" xfId="206"/>
    <cellStyle name="Output 2" xfId="794"/>
    <cellStyle name="Output 2 2" xfId="932"/>
    <cellStyle name="Output 2 2 2" xfId="1682"/>
    <cellStyle name="Output 2 2 2 2" xfId="3358"/>
    <cellStyle name="Output 2 2 2 2 2" xfId="6328"/>
    <cellStyle name="Output 2 2 2 3" xfId="4798"/>
    <cellStyle name="Output 2 2 3" xfId="1909"/>
    <cellStyle name="Output 2 2 3 2" xfId="3563"/>
    <cellStyle name="Output 2 2 3 2 2" xfId="6529"/>
    <cellStyle name="Output 2 2 3 3" xfId="4963"/>
    <cellStyle name="Output 2 2 4" xfId="2127"/>
    <cellStyle name="Output 2 2 4 2" xfId="3765"/>
    <cellStyle name="Output 2 2 4 2 2" xfId="6726"/>
    <cellStyle name="Output 2 2 4 3" xfId="5171"/>
    <cellStyle name="Output 2 2 5" xfId="2340"/>
    <cellStyle name="Output 2 2 5 2" xfId="3965"/>
    <cellStyle name="Output 2 2 5 2 2" xfId="6921"/>
    <cellStyle name="Output 2 2 5 3" xfId="5373"/>
    <cellStyle name="Output 2 2 6" xfId="2545"/>
    <cellStyle name="Output 2 2 6 2" xfId="4158"/>
    <cellStyle name="Output 2 2 6 2 2" xfId="7113"/>
    <cellStyle name="Output 2 2 6 3" xfId="5572"/>
    <cellStyle name="Output 2 2 7" xfId="2841"/>
    <cellStyle name="Output 2 2 7 2" xfId="5828"/>
    <cellStyle name="Output 2 2 8" xfId="4369"/>
    <cellStyle name="Output 2 3" xfId="952"/>
    <cellStyle name="Output 2 3 2" xfId="1531"/>
    <cellStyle name="Output 2 3 2 2" xfId="3216"/>
    <cellStyle name="Output 2 3 2 2 2" xfId="6189"/>
    <cellStyle name="Output 2 3 2 3" xfId="4677"/>
    <cellStyle name="Output 2 3 3" xfId="1702"/>
    <cellStyle name="Output 2 3 3 2" xfId="3378"/>
    <cellStyle name="Output 2 3 3 2 2" xfId="6348"/>
    <cellStyle name="Output 2 3 4" xfId="1929"/>
    <cellStyle name="Output 2 3 4 2" xfId="3583"/>
    <cellStyle name="Output 2 3 4 2 2" xfId="6549"/>
    <cellStyle name="Output 2 3 4 3" xfId="4983"/>
    <cellStyle name="Output 2 3 5" xfId="2147"/>
    <cellStyle name="Output 2 3 5 2" xfId="3785"/>
    <cellStyle name="Output 2 3 5 2 2" xfId="6746"/>
    <cellStyle name="Output 2 3 5 3" xfId="5191"/>
    <cellStyle name="Output 2 3 6" xfId="2360"/>
    <cellStyle name="Output 2 3 6 2" xfId="3985"/>
    <cellStyle name="Output 2 3 6 2 2" xfId="6941"/>
    <cellStyle name="Output 2 3 6 3" xfId="5393"/>
    <cellStyle name="Output 2 3 7" xfId="2565"/>
    <cellStyle name="Output 2 3 7 2" xfId="5592"/>
    <cellStyle name="Output 2 3 8" xfId="2861"/>
    <cellStyle name="Output 2 3 8 2" xfId="5848"/>
    <cellStyle name="Output 2 4" xfId="1109"/>
    <cellStyle name="Output 2 4 2" xfId="2994"/>
    <cellStyle name="Output 2 4 2 2" xfId="5978"/>
    <cellStyle name="Output 2 4 3" xfId="4416"/>
    <cellStyle name="Output 2 5" xfId="1827"/>
    <cellStyle name="Output 2 5 2" xfId="3497"/>
    <cellStyle name="Output 2 5 2 2" xfId="6466"/>
    <cellStyle name="Output 2 5 3" xfId="4889"/>
    <cellStyle name="Output 2 6" xfId="2048"/>
    <cellStyle name="Output 2 6 2" xfId="3700"/>
    <cellStyle name="Output 2 6 2 2" xfId="6664"/>
    <cellStyle name="Output 2 6 3" xfId="5100"/>
    <cellStyle name="Output 2 7" xfId="2265"/>
    <cellStyle name="Output 2 7 2" xfId="3902"/>
    <cellStyle name="Output 2 7 2 2" xfId="6860"/>
    <cellStyle name="Output 2 7 3" xfId="5305"/>
    <cellStyle name="Output 2 8" xfId="2476"/>
    <cellStyle name="Output 2 8 2" xfId="4101"/>
    <cellStyle name="Output 2 8 2 2" xfId="7056"/>
    <cellStyle name="Output 2 8 3" xfId="5508"/>
    <cellStyle name="Output 2 9" xfId="2781"/>
    <cellStyle name="Output 2 9 2" xfId="5769"/>
    <cellStyle name="Percent" xfId="58" builtinId="5"/>
    <cellStyle name="Percent [0]" xfId="207"/>
    <cellStyle name="Percent [00]" xfId="208"/>
    <cellStyle name="Percent [2]" xfId="15"/>
    <cellStyle name="Percent [2] 2" xfId="62"/>
    <cellStyle name="Percent [2] 2 2" xfId="2716"/>
    <cellStyle name="Percent 10" xfId="42"/>
    <cellStyle name="Percent 10 2" xfId="2699"/>
    <cellStyle name="Percent 11" xfId="45"/>
    <cellStyle name="Percent 11 2" xfId="2702"/>
    <cellStyle name="Percent 12" xfId="48"/>
    <cellStyle name="Percent 12 2" xfId="2705"/>
    <cellStyle name="Percent 13" xfId="51"/>
    <cellStyle name="Percent 13 2" xfId="2708"/>
    <cellStyle name="Percent 14" xfId="54"/>
    <cellStyle name="Percent 14 2" xfId="2711"/>
    <cellStyle name="Percent 15" xfId="55"/>
    <cellStyle name="Percent 15 2" xfId="2712"/>
    <cellStyle name="Percent 2" xfId="14"/>
    <cellStyle name="Percent 2 10" xfId="795"/>
    <cellStyle name="Percent 2 11" xfId="796"/>
    <cellStyle name="Percent 2 12" xfId="797"/>
    <cellStyle name="Percent 2 13" xfId="798"/>
    <cellStyle name="Percent 2 14" xfId="799"/>
    <cellStyle name="Percent 2 15" xfId="800"/>
    <cellStyle name="Percent 2 16" xfId="801"/>
    <cellStyle name="Percent 2 17" xfId="802"/>
    <cellStyle name="Percent 2 18" xfId="803"/>
    <cellStyle name="Percent 2 19" xfId="804"/>
    <cellStyle name="Percent 2 2" xfId="61"/>
    <cellStyle name="Percent 2 2 2" xfId="805"/>
    <cellStyle name="Percent 2 2 3" xfId="1435"/>
    <cellStyle name="Percent 2 2 4" xfId="1107"/>
    <cellStyle name="Percent 2 2 5" xfId="1830"/>
    <cellStyle name="Percent 2 2 6" xfId="2049"/>
    <cellStyle name="Percent 2 2 7" xfId="2266"/>
    <cellStyle name="Percent 2 2 8" xfId="2477"/>
    <cellStyle name="Percent 2 2 9" xfId="2715"/>
    <cellStyle name="Percent 2 20" xfId="806"/>
    <cellStyle name="Percent 2 21" xfId="807"/>
    <cellStyle name="Percent 2 22" xfId="808"/>
    <cellStyle name="Percent 2 23" xfId="809"/>
    <cellStyle name="Percent 2 24" xfId="810"/>
    <cellStyle name="Percent 2 25" xfId="811"/>
    <cellStyle name="Percent 2 26" xfId="812"/>
    <cellStyle name="Percent 2 27" xfId="875"/>
    <cellStyle name="Percent 2 28" xfId="884"/>
    <cellStyle name="Percent 2 29" xfId="993"/>
    <cellStyle name="Percent 2 3" xfId="210"/>
    <cellStyle name="Percent 2 3 2" xfId="813"/>
    <cellStyle name="Percent 2 3 3" xfId="1443"/>
    <cellStyle name="Percent 2 3 3 3" xfId="4207"/>
    <cellStyle name="Percent 2 3 4" xfId="1105"/>
    <cellStyle name="Percent 2 3 5" xfId="1832"/>
    <cellStyle name="Percent 2 3 6" xfId="2051"/>
    <cellStyle name="Percent 2 3 7" xfId="2268"/>
    <cellStyle name="Percent 2 3 8" xfId="2478"/>
    <cellStyle name="Percent 2 30" xfId="1149"/>
    <cellStyle name="Percent 2 31" xfId="1519"/>
    <cellStyle name="Percent 2 32" xfId="1241"/>
    <cellStyle name="Percent 2 33" xfId="1209"/>
    <cellStyle name="Percent 2 34" xfId="1411"/>
    <cellStyle name="Percent 2 35" xfId="1281"/>
    <cellStyle name="Percent 2 4" xfId="814"/>
    <cellStyle name="Percent 2 5" xfId="815"/>
    <cellStyle name="Percent 2 6" xfId="816"/>
    <cellStyle name="Percent 2 7" xfId="817"/>
    <cellStyle name="Percent 2 8" xfId="818"/>
    <cellStyle name="Percent 2 9" xfId="819"/>
    <cellStyle name="Percent 25 2" xfId="4208"/>
    <cellStyle name="Percent 3" xfId="19"/>
    <cellStyle name="Percent 3 2" xfId="65"/>
    <cellStyle name="Percent 3 2 2" xfId="2719"/>
    <cellStyle name="Percent 4" xfId="24"/>
    <cellStyle name="Percent 4 2" xfId="70"/>
    <cellStyle name="Percent 4 2 2" xfId="2724"/>
    <cellStyle name="Percent 4 3" xfId="212"/>
    <cellStyle name="Percent 4 4" xfId="1151"/>
    <cellStyle name="Percent 4 5" xfId="1512"/>
    <cellStyle name="Percent 4 6" xfId="1228"/>
    <cellStyle name="Percent 4 7" xfId="1836"/>
    <cellStyle name="Percent 4 8" xfId="2053"/>
    <cellStyle name="Percent 4 9" xfId="2270"/>
    <cellStyle name="Percent 5" xfId="25"/>
    <cellStyle name="Percent 5 2" xfId="71"/>
    <cellStyle name="Percent 5 2 2" xfId="2725"/>
    <cellStyle name="Percent 5 3" xfId="213"/>
    <cellStyle name="Percent 5 4" xfId="1152"/>
    <cellStyle name="Percent 5 5" xfId="1170"/>
    <cellStyle name="Percent 5 6" xfId="1088"/>
    <cellStyle name="Percent 5 7" xfId="1858"/>
    <cellStyle name="Percent 5 8" xfId="2075"/>
    <cellStyle name="Percent 5 9" xfId="2291"/>
    <cellStyle name="Percent 6" xfId="28"/>
    <cellStyle name="Percent 6 2" xfId="2685"/>
    <cellStyle name="Percent 7" xfId="34"/>
    <cellStyle name="Percent 7 2" xfId="2691"/>
    <cellStyle name="Percent 8" xfId="37"/>
    <cellStyle name="Percent 8 2" xfId="2694"/>
    <cellStyle name="Percent 9" xfId="40"/>
    <cellStyle name="Percent 9 2" xfId="2697"/>
    <cellStyle name="PrePop Currency (0)" xfId="214"/>
    <cellStyle name="PrePop Currency (2)" xfId="215"/>
    <cellStyle name="PrePop Units (0)" xfId="216"/>
    <cellStyle name="PrePop Units (1)" xfId="217"/>
    <cellStyle name="PrePop Units (2)" xfId="218"/>
    <cellStyle name="pricing" xfId="219"/>
    <cellStyle name="PSChar" xfId="220"/>
    <cellStyle name="PSDate" xfId="221"/>
    <cellStyle name="PSDec" xfId="222"/>
    <cellStyle name="PSHeading" xfId="223"/>
    <cellStyle name="PSInt" xfId="224"/>
    <cellStyle name="PSSpacer" xfId="225"/>
    <cellStyle name="Quantity" xfId="226"/>
    <cellStyle name="RevList" xfId="227"/>
    <cellStyle name="SAPBEXaggData" xfId="228"/>
    <cellStyle name="SAPBEXaggData 2" xfId="930"/>
    <cellStyle name="SAPBEXaggData 2 2" xfId="1680"/>
    <cellStyle name="SAPBEXaggData 2 2 2" xfId="3356"/>
    <cellStyle name="SAPBEXaggData 2 2 2 2" xfId="6326"/>
    <cellStyle name="SAPBEXaggData 2 2 3" xfId="4796"/>
    <cellStyle name="SAPBEXaggData 2 3" xfId="1907"/>
    <cellStyle name="SAPBEXaggData 2 3 2" xfId="3561"/>
    <cellStyle name="SAPBEXaggData 2 3 2 2" xfId="6527"/>
    <cellStyle name="SAPBEXaggData 2 3 3" xfId="4961"/>
    <cellStyle name="SAPBEXaggData 2 4" xfId="2125"/>
    <cellStyle name="SAPBEXaggData 2 4 2" xfId="3763"/>
    <cellStyle name="SAPBEXaggData 2 4 2 2" xfId="6724"/>
    <cellStyle name="SAPBEXaggData 2 4 3" xfId="5169"/>
    <cellStyle name="SAPBEXaggData 2 5" xfId="2338"/>
    <cellStyle name="SAPBEXaggData 2 5 2" xfId="3963"/>
    <cellStyle name="SAPBEXaggData 2 5 2 2" xfId="6919"/>
    <cellStyle name="SAPBEXaggData 2 5 3" xfId="5371"/>
    <cellStyle name="SAPBEXaggData 2 6" xfId="2543"/>
    <cellStyle name="SAPBEXaggData 2 6 2" xfId="4156"/>
    <cellStyle name="SAPBEXaggData 2 6 2 2" xfId="7111"/>
    <cellStyle name="SAPBEXaggData 2 6 3" xfId="5570"/>
    <cellStyle name="SAPBEXaggData 2 7" xfId="2839"/>
    <cellStyle name="SAPBEXaggData 2 7 2" xfId="5826"/>
    <cellStyle name="SAPBEXaggData 2 8" xfId="4367"/>
    <cellStyle name="SAPBEXaggData 3" xfId="1002"/>
    <cellStyle name="SAPBEXaggData 3 2" xfId="1571"/>
    <cellStyle name="SAPBEXaggData 3 2 2" xfId="3254"/>
    <cellStyle name="SAPBEXaggData 3 2 2 2" xfId="6226"/>
    <cellStyle name="SAPBEXaggData 3 2 3" xfId="4713"/>
    <cellStyle name="SAPBEXaggData 3 3" xfId="1742"/>
    <cellStyle name="SAPBEXaggData 3 3 2" xfId="3413"/>
    <cellStyle name="SAPBEXaggData 3 3 2 2" xfId="6383"/>
    <cellStyle name="SAPBEXaggData 3 4" xfId="1965"/>
    <cellStyle name="SAPBEXaggData 3 4 2" xfId="3617"/>
    <cellStyle name="SAPBEXaggData 3 4 2 2" xfId="6583"/>
    <cellStyle name="SAPBEXaggData 3 4 3" xfId="5019"/>
    <cellStyle name="SAPBEXaggData 3 5" xfId="2181"/>
    <cellStyle name="SAPBEXaggData 3 5 2" xfId="3819"/>
    <cellStyle name="SAPBEXaggData 3 5 2 2" xfId="6779"/>
    <cellStyle name="SAPBEXaggData 3 5 3" xfId="5224"/>
    <cellStyle name="SAPBEXaggData 3 6" xfId="2393"/>
    <cellStyle name="SAPBEXaggData 3 6 2" xfId="4018"/>
    <cellStyle name="SAPBEXaggData 3 6 2 2" xfId="6974"/>
    <cellStyle name="SAPBEXaggData 3 6 3" xfId="5426"/>
    <cellStyle name="SAPBEXaggData 3 7" xfId="2597"/>
    <cellStyle name="SAPBEXaggData 3 7 2" xfId="5624"/>
    <cellStyle name="SAPBEXaggData 3 8" xfId="2894"/>
    <cellStyle name="SAPBEXaggData 3 8 2" xfId="5880"/>
    <cellStyle name="SAPBEXaggData 4" xfId="1515"/>
    <cellStyle name="SAPBEXaggData 4 2" xfId="3202"/>
    <cellStyle name="SAPBEXaggData 4 2 2" xfId="6175"/>
    <cellStyle name="SAPBEXaggData 4 3" xfId="4662"/>
    <cellStyle name="SAPBEXaggData 5" xfId="1250"/>
    <cellStyle name="SAPBEXaggData 5 2" xfId="3067"/>
    <cellStyle name="SAPBEXaggData 5 2 2" xfId="6046"/>
    <cellStyle name="SAPBEXaggData 5 3" xfId="4513"/>
    <cellStyle name="SAPBEXaggData 6" xfId="1200"/>
    <cellStyle name="SAPBEXaggData 6 2" xfId="3049"/>
    <cellStyle name="SAPBEXaggData 6 2 2" xfId="6029"/>
    <cellStyle name="SAPBEXaggData 6 3" xfId="4480"/>
    <cellStyle name="SAPBEXaggData 7" xfId="1418"/>
    <cellStyle name="SAPBEXaggData 7 2" xfId="3133"/>
    <cellStyle name="SAPBEXaggData 7 2 2" xfId="6108"/>
    <cellStyle name="SAPBEXaggData 7 3" xfId="4598"/>
    <cellStyle name="SAPBEXaggData 8" xfId="1835"/>
    <cellStyle name="SAPBEXaggData 8 2" xfId="3501"/>
    <cellStyle name="SAPBEXaggData 8 2 2" xfId="6469"/>
    <cellStyle name="SAPBEXaggData 8 3" xfId="4895"/>
    <cellStyle name="SAPBEXaggData 9" xfId="2734"/>
    <cellStyle name="SAPBEXaggData 9 2" xfId="5724"/>
    <cellStyle name="SAPBEXaggDataEmph" xfId="229"/>
    <cellStyle name="SAPBEXaggDataEmph 2" xfId="929"/>
    <cellStyle name="SAPBEXaggDataEmph 2 2" xfId="1679"/>
    <cellStyle name="SAPBEXaggDataEmph 2 2 2" xfId="3355"/>
    <cellStyle name="SAPBEXaggDataEmph 2 2 2 2" xfId="6325"/>
    <cellStyle name="SAPBEXaggDataEmph 2 2 3" xfId="4795"/>
    <cellStyle name="SAPBEXaggDataEmph 2 3" xfId="1906"/>
    <cellStyle name="SAPBEXaggDataEmph 2 3 2" xfId="3560"/>
    <cellStyle name="SAPBEXaggDataEmph 2 3 2 2" xfId="6526"/>
    <cellStyle name="SAPBEXaggDataEmph 2 3 3" xfId="4960"/>
    <cellStyle name="SAPBEXaggDataEmph 2 4" xfId="2124"/>
    <cellStyle name="SAPBEXaggDataEmph 2 4 2" xfId="3762"/>
    <cellStyle name="SAPBEXaggDataEmph 2 4 2 2" xfId="6723"/>
    <cellStyle name="SAPBEXaggDataEmph 2 4 3" xfId="5168"/>
    <cellStyle name="SAPBEXaggDataEmph 2 5" xfId="2337"/>
    <cellStyle name="SAPBEXaggDataEmph 2 5 2" xfId="3962"/>
    <cellStyle name="SAPBEXaggDataEmph 2 5 2 2" xfId="6918"/>
    <cellStyle name="SAPBEXaggDataEmph 2 5 3" xfId="5370"/>
    <cellStyle name="SAPBEXaggDataEmph 2 6" xfId="2542"/>
    <cellStyle name="SAPBEXaggDataEmph 2 6 2" xfId="4155"/>
    <cellStyle name="SAPBEXaggDataEmph 2 6 2 2" xfId="7110"/>
    <cellStyle name="SAPBEXaggDataEmph 2 6 3" xfId="5569"/>
    <cellStyle name="SAPBEXaggDataEmph 2 7" xfId="2838"/>
    <cellStyle name="SAPBEXaggDataEmph 2 7 2" xfId="5825"/>
    <cellStyle name="SAPBEXaggDataEmph 2 8" xfId="4366"/>
    <cellStyle name="SAPBEXaggDataEmph 3" xfId="1003"/>
    <cellStyle name="SAPBEXaggDataEmph 3 2" xfId="1572"/>
    <cellStyle name="SAPBEXaggDataEmph 3 2 2" xfId="3255"/>
    <cellStyle name="SAPBEXaggDataEmph 3 2 2 2" xfId="6227"/>
    <cellStyle name="SAPBEXaggDataEmph 3 2 3" xfId="4714"/>
    <cellStyle name="SAPBEXaggDataEmph 3 3" xfId="1743"/>
    <cellStyle name="SAPBEXaggDataEmph 3 3 2" xfId="3414"/>
    <cellStyle name="SAPBEXaggDataEmph 3 3 2 2" xfId="6384"/>
    <cellStyle name="SAPBEXaggDataEmph 3 4" xfId="1966"/>
    <cellStyle name="SAPBEXaggDataEmph 3 4 2" xfId="3618"/>
    <cellStyle name="SAPBEXaggDataEmph 3 4 2 2" xfId="6584"/>
    <cellStyle name="SAPBEXaggDataEmph 3 4 3" xfId="5020"/>
    <cellStyle name="SAPBEXaggDataEmph 3 5" xfId="2182"/>
    <cellStyle name="SAPBEXaggDataEmph 3 5 2" xfId="3820"/>
    <cellStyle name="SAPBEXaggDataEmph 3 5 2 2" xfId="6780"/>
    <cellStyle name="SAPBEXaggDataEmph 3 5 3" xfId="5225"/>
    <cellStyle name="SAPBEXaggDataEmph 3 6" xfId="2394"/>
    <cellStyle name="SAPBEXaggDataEmph 3 6 2" xfId="4019"/>
    <cellStyle name="SAPBEXaggDataEmph 3 6 2 2" xfId="6975"/>
    <cellStyle name="SAPBEXaggDataEmph 3 6 3" xfId="5427"/>
    <cellStyle name="SAPBEXaggDataEmph 3 7" xfId="2598"/>
    <cellStyle name="SAPBEXaggDataEmph 3 7 2" xfId="5625"/>
    <cellStyle name="SAPBEXaggDataEmph 3 8" xfId="2895"/>
    <cellStyle name="SAPBEXaggDataEmph 3 8 2" xfId="5881"/>
    <cellStyle name="SAPBEXaggDataEmph 4" xfId="1167"/>
    <cellStyle name="SAPBEXaggDataEmph 4 2" xfId="3033"/>
    <cellStyle name="SAPBEXaggDataEmph 4 2 2" xfId="6014"/>
    <cellStyle name="SAPBEXaggDataEmph 4 3" xfId="4458"/>
    <cellStyle name="SAPBEXaggDataEmph 5" xfId="1251"/>
    <cellStyle name="SAPBEXaggDataEmph 5 2" xfId="3068"/>
    <cellStyle name="SAPBEXaggDataEmph 5 2 2" xfId="6047"/>
    <cellStyle name="SAPBEXaggDataEmph 5 3" xfId="4514"/>
    <cellStyle name="SAPBEXaggDataEmph 6" xfId="1199"/>
    <cellStyle name="SAPBEXaggDataEmph 6 2" xfId="3048"/>
    <cellStyle name="SAPBEXaggDataEmph 6 2 2" xfId="6028"/>
    <cellStyle name="SAPBEXaggDataEmph 6 3" xfId="4479"/>
    <cellStyle name="SAPBEXaggDataEmph 7" xfId="1419"/>
    <cellStyle name="SAPBEXaggDataEmph 7 2" xfId="3134"/>
    <cellStyle name="SAPBEXaggDataEmph 7 2 2" xfId="6109"/>
    <cellStyle name="SAPBEXaggDataEmph 7 3" xfId="4599"/>
    <cellStyle name="SAPBEXaggDataEmph 8" xfId="1207"/>
    <cellStyle name="SAPBEXaggDataEmph 8 2" xfId="3050"/>
    <cellStyle name="SAPBEXaggDataEmph 8 2 2" xfId="6030"/>
    <cellStyle name="SAPBEXaggDataEmph 8 3" xfId="4484"/>
    <cellStyle name="SAPBEXaggDataEmph 9" xfId="2735"/>
    <cellStyle name="SAPBEXaggDataEmph 9 2" xfId="5725"/>
    <cellStyle name="SAPBEXaggItem" xfId="230"/>
    <cellStyle name="SAPBEXaggItem 2" xfId="928"/>
    <cellStyle name="SAPBEXaggItem 2 2" xfId="1678"/>
    <cellStyle name="SAPBEXaggItem 2 2 2" xfId="3354"/>
    <cellStyle name="SAPBEXaggItem 2 2 2 2" xfId="6324"/>
    <cellStyle name="SAPBEXaggItem 2 2 3" xfId="4794"/>
    <cellStyle name="SAPBEXaggItem 2 3" xfId="1905"/>
    <cellStyle name="SAPBEXaggItem 2 3 2" xfId="3559"/>
    <cellStyle name="SAPBEXaggItem 2 3 2 2" xfId="6525"/>
    <cellStyle name="SAPBEXaggItem 2 3 3" xfId="4959"/>
    <cellStyle name="SAPBEXaggItem 2 4" xfId="2123"/>
    <cellStyle name="SAPBEXaggItem 2 4 2" xfId="3761"/>
    <cellStyle name="SAPBEXaggItem 2 4 2 2" xfId="6722"/>
    <cellStyle name="SAPBEXaggItem 2 4 3" xfId="5167"/>
    <cellStyle name="SAPBEXaggItem 2 5" xfId="2336"/>
    <cellStyle name="SAPBEXaggItem 2 5 2" xfId="3961"/>
    <cellStyle name="SAPBEXaggItem 2 5 2 2" xfId="6917"/>
    <cellStyle name="SAPBEXaggItem 2 5 3" xfId="5369"/>
    <cellStyle name="SAPBEXaggItem 2 6" xfId="2541"/>
    <cellStyle name="SAPBEXaggItem 2 6 2" xfId="4154"/>
    <cellStyle name="SAPBEXaggItem 2 6 2 2" xfId="7109"/>
    <cellStyle name="SAPBEXaggItem 2 6 3" xfId="5568"/>
    <cellStyle name="SAPBEXaggItem 2 7" xfId="2837"/>
    <cellStyle name="SAPBEXaggItem 2 7 2" xfId="5824"/>
    <cellStyle name="SAPBEXaggItem 2 8" xfId="4365"/>
    <cellStyle name="SAPBEXaggItem 3" xfId="1004"/>
    <cellStyle name="SAPBEXaggItem 3 2" xfId="1573"/>
    <cellStyle name="SAPBEXaggItem 3 2 2" xfId="3256"/>
    <cellStyle name="SAPBEXaggItem 3 2 2 2" xfId="6228"/>
    <cellStyle name="SAPBEXaggItem 3 2 3" xfId="4715"/>
    <cellStyle name="SAPBEXaggItem 3 3" xfId="1744"/>
    <cellStyle name="SAPBEXaggItem 3 3 2" xfId="3415"/>
    <cellStyle name="SAPBEXaggItem 3 3 2 2" xfId="6385"/>
    <cellStyle name="SAPBEXaggItem 3 4" xfId="1967"/>
    <cellStyle name="SAPBEXaggItem 3 4 2" xfId="3619"/>
    <cellStyle name="SAPBEXaggItem 3 4 2 2" xfId="6585"/>
    <cellStyle name="SAPBEXaggItem 3 4 3" xfId="5021"/>
    <cellStyle name="SAPBEXaggItem 3 5" xfId="2183"/>
    <cellStyle name="SAPBEXaggItem 3 5 2" xfId="3821"/>
    <cellStyle name="SAPBEXaggItem 3 5 2 2" xfId="6781"/>
    <cellStyle name="SAPBEXaggItem 3 5 3" xfId="5226"/>
    <cellStyle name="SAPBEXaggItem 3 6" xfId="2395"/>
    <cellStyle name="SAPBEXaggItem 3 6 2" xfId="4020"/>
    <cellStyle name="SAPBEXaggItem 3 6 2 2" xfId="6976"/>
    <cellStyle name="SAPBEXaggItem 3 6 3" xfId="5428"/>
    <cellStyle name="SAPBEXaggItem 3 7" xfId="2599"/>
    <cellStyle name="SAPBEXaggItem 3 7 2" xfId="5626"/>
    <cellStyle name="SAPBEXaggItem 3 8" xfId="2896"/>
    <cellStyle name="SAPBEXaggItem 3 8 2" xfId="5882"/>
    <cellStyle name="SAPBEXaggItem 4" xfId="1166"/>
    <cellStyle name="SAPBEXaggItem 4 2" xfId="3032"/>
    <cellStyle name="SAPBEXaggItem 4 2 2" xfId="6013"/>
    <cellStyle name="SAPBEXaggItem 4 3" xfId="4457"/>
    <cellStyle name="SAPBEXaggItem 5" xfId="1651"/>
    <cellStyle name="SAPBEXaggItem 5 2" xfId="3327"/>
    <cellStyle name="SAPBEXaggItem 5 2 2" xfId="6298"/>
    <cellStyle name="SAPBEXaggItem 5 3" xfId="4769"/>
    <cellStyle name="SAPBEXaggItem 6" xfId="1878"/>
    <cellStyle name="SAPBEXaggItem 6 2" xfId="3532"/>
    <cellStyle name="SAPBEXaggItem 6 2 2" xfId="6499"/>
    <cellStyle name="SAPBEXaggItem 6 3" xfId="4933"/>
    <cellStyle name="SAPBEXaggItem 7" xfId="2096"/>
    <cellStyle name="SAPBEXaggItem 7 2" xfId="3734"/>
    <cellStyle name="SAPBEXaggItem 7 2 2" xfId="6696"/>
    <cellStyle name="SAPBEXaggItem 7 3" xfId="5141"/>
    <cellStyle name="SAPBEXaggItem 8" xfId="2309"/>
    <cellStyle name="SAPBEXaggItem 8 2" xfId="3934"/>
    <cellStyle name="SAPBEXaggItem 8 2 2" xfId="6891"/>
    <cellStyle name="SAPBEXaggItem 8 3" xfId="5343"/>
    <cellStyle name="SAPBEXaggItem 9" xfId="2736"/>
    <cellStyle name="SAPBEXaggItem 9 2" xfId="5726"/>
    <cellStyle name="SAPBEXaggItemX" xfId="231"/>
    <cellStyle name="SAPBEXaggItemX 2" xfId="927"/>
    <cellStyle name="SAPBEXaggItemX 2 2" xfId="1677"/>
    <cellStyle name="SAPBEXaggItemX 2 2 2" xfId="3353"/>
    <cellStyle name="SAPBEXaggItemX 2 2 2 2" xfId="6323"/>
    <cellStyle name="SAPBEXaggItemX 2 2 3" xfId="4793"/>
    <cellStyle name="SAPBEXaggItemX 2 3" xfId="1904"/>
    <cellStyle name="SAPBEXaggItemX 2 3 2" xfId="3558"/>
    <cellStyle name="SAPBEXaggItemX 2 3 2 2" xfId="6524"/>
    <cellStyle name="SAPBEXaggItemX 2 3 3" xfId="4958"/>
    <cellStyle name="SAPBEXaggItemX 2 4" xfId="2122"/>
    <cellStyle name="SAPBEXaggItemX 2 4 2" xfId="3760"/>
    <cellStyle name="SAPBEXaggItemX 2 4 2 2" xfId="6721"/>
    <cellStyle name="SAPBEXaggItemX 2 4 3" xfId="5166"/>
    <cellStyle name="SAPBEXaggItemX 2 5" xfId="2335"/>
    <cellStyle name="SAPBEXaggItemX 2 5 2" xfId="3960"/>
    <cellStyle name="SAPBEXaggItemX 2 5 2 2" xfId="6916"/>
    <cellStyle name="SAPBEXaggItemX 2 5 3" xfId="5368"/>
    <cellStyle name="SAPBEXaggItemX 2 6" xfId="2540"/>
    <cellStyle name="SAPBEXaggItemX 2 6 2" xfId="4153"/>
    <cellStyle name="SAPBEXaggItemX 2 6 2 2" xfId="7108"/>
    <cellStyle name="SAPBEXaggItemX 2 6 3" xfId="5567"/>
    <cellStyle name="SAPBEXaggItemX 2 7" xfId="2836"/>
    <cellStyle name="SAPBEXaggItemX 2 7 2" xfId="5823"/>
    <cellStyle name="SAPBEXaggItemX 2 8" xfId="4364"/>
    <cellStyle name="SAPBEXaggItemX 3" xfId="994"/>
    <cellStyle name="SAPBEXaggItemX 3 2" xfId="1563"/>
    <cellStyle name="SAPBEXaggItemX 3 2 2" xfId="3246"/>
    <cellStyle name="SAPBEXaggItemX 3 2 2 2" xfId="6218"/>
    <cellStyle name="SAPBEXaggItemX 3 2 3" xfId="4705"/>
    <cellStyle name="SAPBEXaggItemX 3 3" xfId="1734"/>
    <cellStyle name="SAPBEXaggItemX 3 3 2" xfId="3405"/>
    <cellStyle name="SAPBEXaggItemX 3 3 2 2" xfId="6375"/>
    <cellStyle name="SAPBEXaggItemX 3 4" xfId="1957"/>
    <cellStyle name="SAPBEXaggItemX 3 4 2" xfId="3609"/>
    <cellStyle name="SAPBEXaggItemX 3 4 2 2" xfId="6575"/>
    <cellStyle name="SAPBEXaggItemX 3 4 3" xfId="5011"/>
    <cellStyle name="SAPBEXaggItemX 3 5" xfId="2173"/>
    <cellStyle name="SAPBEXaggItemX 3 5 2" xfId="3811"/>
    <cellStyle name="SAPBEXaggItemX 3 5 2 2" xfId="6771"/>
    <cellStyle name="SAPBEXaggItemX 3 5 3" xfId="5216"/>
    <cellStyle name="SAPBEXaggItemX 3 6" xfId="2385"/>
    <cellStyle name="SAPBEXaggItemX 3 6 2" xfId="4010"/>
    <cellStyle name="SAPBEXaggItemX 3 6 2 2" xfId="6966"/>
    <cellStyle name="SAPBEXaggItemX 3 6 3" xfId="5418"/>
    <cellStyle name="SAPBEXaggItemX 3 7" xfId="2589"/>
    <cellStyle name="SAPBEXaggItemX 3 7 2" xfId="5616"/>
    <cellStyle name="SAPBEXaggItemX 3 8" xfId="2886"/>
    <cellStyle name="SAPBEXaggItemX 3 8 2" xfId="5872"/>
    <cellStyle name="SAPBEXaggItemX 4" xfId="1165"/>
    <cellStyle name="SAPBEXaggItemX 4 2" xfId="3031"/>
    <cellStyle name="SAPBEXaggItemX 4 2 2" xfId="6012"/>
    <cellStyle name="SAPBEXaggItemX 4 3" xfId="4456"/>
    <cellStyle name="SAPBEXaggItemX 5" xfId="1252"/>
    <cellStyle name="SAPBEXaggItemX 5 2" xfId="3069"/>
    <cellStyle name="SAPBEXaggItemX 5 2 2" xfId="6048"/>
    <cellStyle name="SAPBEXaggItemX 5 3" xfId="4515"/>
    <cellStyle name="SAPBEXaggItemX 6" xfId="1198"/>
    <cellStyle name="SAPBEXaggItemX 6 2" xfId="3047"/>
    <cellStyle name="SAPBEXaggItemX 6 2 2" xfId="6027"/>
    <cellStyle name="SAPBEXaggItemX 6 3" xfId="4478"/>
    <cellStyle name="SAPBEXaggItemX 7" xfId="1420"/>
    <cellStyle name="SAPBEXaggItemX 7 2" xfId="3135"/>
    <cellStyle name="SAPBEXaggItemX 7 2 2" xfId="6110"/>
    <cellStyle name="SAPBEXaggItemX 7 3" xfId="4600"/>
    <cellStyle name="SAPBEXaggItemX 8" xfId="1650"/>
    <cellStyle name="SAPBEXaggItemX 8 2" xfId="3326"/>
    <cellStyle name="SAPBEXaggItemX 8 2 2" xfId="6297"/>
    <cellStyle name="SAPBEXaggItemX 8 3" xfId="4768"/>
    <cellStyle name="SAPBEXaggItemX 9" xfId="2737"/>
    <cellStyle name="SAPBEXaggItemX 9 2" xfId="5727"/>
    <cellStyle name="SAPBEXchaText" xfId="232"/>
    <cellStyle name="SAPBEXchaText 10" xfId="1706"/>
    <cellStyle name="SAPBEXchaText 10 2" xfId="3380"/>
    <cellStyle name="SAPBEXchaText 10 2 2" xfId="6350"/>
    <cellStyle name="SAPBEXchaText 10 3" xfId="4810"/>
    <cellStyle name="SAPBEXchaText 11" xfId="2738"/>
    <cellStyle name="SAPBEXchaText 11 2" xfId="5728"/>
    <cellStyle name="SAPBEXchaText 2" xfId="841"/>
    <cellStyle name="SAPBEXchaText 2 10" xfId="2482"/>
    <cellStyle name="SAPBEXchaText 2 10 2" xfId="4105"/>
    <cellStyle name="SAPBEXchaText 2 10 2 2" xfId="7060"/>
    <cellStyle name="SAPBEXchaText 2 10 3" xfId="5512"/>
    <cellStyle name="SAPBEXchaText 2 11" xfId="2785"/>
    <cellStyle name="SAPBEXchaText 2 11 2" xfId="5773"/>
    <cellStyle name="SAPBEXchaText 2 2" xfId="1007"/>
    <cellStyle name="SAPBEXchaText 2 2 2" xfId="1576"/>
    <cellStyle name="SAPBEXchaText 2 2 2 2" xfId="3259"/>
    <cellStyle name="SAPBEXchaText 2 2 2 2 2" xfId="6231"/>
    <cellStyle name="SAPBEXchaText 2 2 3" xfId="1747"/>
    <cellStyle name="SAPBEXchaText 2 2 3 2" xfId="3418"/>
    <cellStyle name="SAPBEXchaText 2 2 3 2 2" xfId="6388"/>
    <cellStyle name="SAPBEXchaText 2 2 3 3" xfId="4824"/>
    <cellStyle name="SAPBEXchaText 2 2 4" xfId="1970"/>
    <cellStyle name="SAPBEXchaText 2 2 4 2" xfId="3622"/>
    <cellStyle name="SAPBEXchaText 2 2 4 2 2" xfId="6588"/>
    <cellStyle name="SAPBEXchaText 2 2 4 3" xfId="5024"/>
    <cellStyle name="SAPBEXchaText 2 2 5" xfId="2186"/>
    <cellStyle name="SAPBEXchaText 2 2 5 2" xfId="3824"/>
    <cellStyle name="SAPBEXchaText 2 2 5 2 2" xfId="6784"/>
    <cellStyle name="SAPBEXchaText 2 2 5 3" xfId="5229"/>
    <cellStyle name="SAPBEXchaText 2 2 6" xfId="2398"/>
    <cellStyle name="SAPBEXchaText 2 2 6 2" xfId="4023"/>
    <cellStyle name="SAPBEXchaText 2 2 6 2 2" xfId="6979"/>
    <cellStyle name="SAPBEXchaText 2 2 6 3" xfId="5431"/>
    <cellStyle name="SAPBEXchaText 2 2 7" xfId="2602"/>
    <cellStyle name="SAPBEXchaText 2 2 7 2" xfId="4168"/>
    <cellStyle name="SAPBEXchaText 2 2 7 2 2" xfId="7123"/>
    <cellStyle name="SAPBEXchaText 2 2 7 3" xfId="5629"/>
    <cellStyle name="SAPBEXchaText 2 2 8" xfId="2899"/>
    <cellStyle name="SAPBEXchaText 2 2 8 2" xfId="5885"/>
    <cellStyle name="SAPBEXchaText 2 3" xfId="966"/>
    <cellStyle name="SAPBEXchaText 2 3 2" xfId="1541"/>
    <cellStyle name="SAPBEXchaText 2 3 2 2" xfId="3225"/>
    <cellStyle name="SAPBEXchaText 2 3 2 2 2" xfId="6198"/>
    <cellStyle name="SAPBEXchaText 2 3 2 3" xfId="4686"/>
    <cellStyle name="SAPBEXchaText 2 3 3" xfId="1713"/>
    <cellStyle name="SAPBEXchaText 2 3 3 2" xfId="3386"/>
    <cellStyle name="SAPBEXchaText 2 3 3 2 2" xfId="6356"/>
    <cellStyle name="SAPBEXchaText 2 3 3 3" xfId="4813"/>
    <cellStyle name="SAPBEXchaText 2 3 4" xfId="1937"/>
    <cellStyle name="SAPBEXchaText 2 3 4 2" xfId="3591"/>
    <cellStyle name="SAPBEXchaText 2 3 4 2 2" xfId="6557"/>
    <cellStyle name="SAPBEXchaText 2 3 4 3" xfId="4991"/>
    <cellStyle name="SAPBEXchaText 2 3 5" xfId="2154"/>
    <cellStyle name="SAPBEXchaText 2 3 5 2" xfId="3792"/>
    <cellStyle name="SAPBEXchaText 2 3 5 2 2" xfId="6753"/>
    <cellStyle name="SAPBEXchaText 2 3 5 3" xfId="5198"/>
    <cellStyle name="SAPBEXchaText 2 3 6" xfId="2367"/>
    <cellStyle name="SAPBEXchaText 2 3 6 2" xfId="3992"/>
    <cellStyle name="SAPBEXchaText 2 3 6 2 2" xfId="6948"/>
    <cellStyle name="SAPBEXchaText 2 3 6 3" xfId="5400"/>
    <cellStyle name="SAPBEXchaText 2 3 7" xfId="2572"/>
    <cellStyle name="SAPBEXchaText 2 3 7 2" xfId="5599"/>
    <cellStyle name="SAPBEXchaText 2 3 8" xfId="2868"/>
    <cellStyle name="SAPBEXchaText 2 3 8 2" xfId="5855"/>
    <cellStyle name="SAPBEXchaText 2 4" xfId="1059"/>
    <cellStyle name="SAPBEXchaText 2 4 2" xfId="1620"/>
    <cellStyle name="SAPBEXchaText 2 4 2 2" xfId="3301"/>
    <cellStyle name="SAPBEXchaText 2 4 2 2 2" xfId="6272"/>
    <cellStyle name="SAPBEXchaText 2 4 2 3" xfId="4740"/>
    <cellStyle name="SAPBEXchaText 2 4 3" xfId="1799"/>
    <cellStyle name="SAPBEXchaText 2 4 3 2" xfId="3470"/>
    <cellStyle name="SAPBEXchaText 2 4 3 2 2" xfId="6439"/>
    <cellStyle name="SAPBEXchaText 2 4 3 3" xfId="4868"/>
    <cellStyle name="SAPBEXchaText 2 4 4" xfId="2022"/>
    <cellStyle name="SAPBEXchaText 2 4 4 2" xfId="3674"/>
    <cellStyle name="SAPBEXchaText 2 4 4 2 2" xfId="6638"/>
    <cellStyle name="SAPBEXchaText 2 4 4 3" xfId="5074"/>
    <cellStyle name="SAPBEXchaText 2 4 5" xfId="2238"/>
    <cellStyle name="SAPBEXchaText 2 4 5 2" xfId="3876"/>
    <cellStyle name="SAPBEXchaText 2 4 5 2 2" xfId="6834"/>
    <cellStyle name="SAPBEXchaText 2 4 5 3" xfId="5279"/>
    <cellStyle name="SAPBEXchaText 2 4 6" xfId="2450"/>
    <cellStyle name="SAPBEXchaText 2 4 6 2" xfId="4075"/>
    <cellStyle name="SAPBEXchaText 2 4 6 2 2" xfId="7030"/>
    <cellStyle name="SAPBEXchaText 2 4 6 3" xfId="5482"/>
    <cellStyle name="SAPBEXchaText 2 4 7" xfId="2654"/>
    <cellStyle name="SAPBEXchaText 2 4 7 2" xfId="5680"/>
    <cellStyle name="SAPBEXchaText 2 4 8" xfId="2951"/>
    <cellStyle name="SAPBEXchaText 2 4 8 2" xfId="5936"/>
    <cellStyle name="SAPBEXchaText 2 5" xfId="1458"/>
    <cellStyle name="SAPBEXchaText 2 5 2" xfId="3167"/>
    <cellStyle name="SAPBEXchaText 2 5 2 2" xfId="6141"/>
    <cellStyle name="SAPBEXchaText 2 6" xfId="1226"/>
    <cellStyle name="SAPBEXchaText 2 6 2" xfId="3058"/>
    <cellStyle name="SAPBEXchaText 2 6 2 2" xfId="6038"/>
    <cellStyle name="SAPBEXchaText 2 6 3" xfId="4497"/>
    <cellStyle name="SAPBEXchaText 2 7" xfId="1840"/>
    <cellStyle name="SAPBEXchaText 2 7 2" xfId="3504"/>
    <cellStyle name="SAPBEXchaText 2 7 2 2" xfId="6472"/>
    <cellStyle name="SAPBEXchaText 2 7 3" xfId="4898"/>
    <cellStyle name="SAPBEXchaText 2 8" xfId="2057"/>
    <cellStyle name="SAPBEXchaText 2 8 2" xfId="3705"/>
    <cellStyle name="SAPBEXchaText 2 8 2 2" xfId="6668"/>
    <cellStyle name="SAPBEXchaText 2 8 3" xfId="5105"/>
    <cellStyle name="SAPBEXchaText 2 9" xfId="2273"/>
    <cellStyle name="SAPBEXchaText 2 9 2" xfId="3907"/>
    <cellStyle name="SAPBEXchaText 2 9 2 2" xfId="6864"/>
    <cellStyle name="SAPBEXchaText 2 9 3" xfId="5310"/>
    <cellStyle name="SAPBEXchaText 3" xfId="853"/>
    <cellStyle name="SAPBEXchaText 3 10" xfId="2494"/>
    <cellStyle name="SAPBEXchaText 3 10 2" xfId="4117"/>
    <cellStyle name="SAPBEXchaText 3 10 2 2" xfId="7072"/>
    <cellStyle name="SAPBEXchaText 3 10 3" xfId="5524"/>
    <cellStyle name="SAPBEXchaText 3 11" xfId="2797"/>
    <cellStyle name="SAPBEXchaText 3 11 2" xfId="5785"/>
    <cellStyle name="SAPBEXchaText 3 2" xfId="1019"/>
    <cellStyle name="SAPBEXchaText 3 2 2" xfId="1585"/>
    <cellStyle name="SAPBEXchaText 3 2 2 2" xfId="3268"/>
    <cellStyle name="SAPBEXchaText 3 2 2 2 2" xfId="6240"/>
    <cellStyle name="SAPBEXchaText 3 2 3" xfId="1759"/>
    <cellStyle name="SAPBEXchaText 3 2 3 2" xfId="3430"/>
    <cellStyle name="SAPBEXchaText 3 2 3 2 2" xfId="6400"/>
    <cellStyle name="SAPBEXchaText 3 2 3 3" xfId="4836"/>
    <cellStyle name="SAPBEXchaText 3 2 4" xfId="1982"/>
    <cellStyle name="SAPBEXchaText 3 2 4 2" xfId="3634"/>
    <cellStyle name="SAPBEXchaText 3 2 4 2 2" xfId="6600"/>
    <cellStyle name="SAPBEXchaText 3 2 4 3" xfId="5036"/>
    <cellStyle name="SAPBEXchaText 3 2 5" xfId="2198"/>
    <cellStyle name="SAPBEXchaText 3 2 5 2" xfId="3836"/>
    <cellStyle name="SAPBEXchaText 3 2 5 2 2" xfId="6796"/>
    <cellStyle name="SAPBEXchaText 3 2 5 3" xfId="5241"/>
    <cellStyle name="SAPBEXchaText 3 2 6" xfId="2410"/>
    <cellStyle name="SAPBEXchaText 3 2 6 2" xfId="4035"/>
    <cellStyle name="SAPBEXchaText 3 2 6 2 2" xfId="6991"/>
    <cellStyle name="SAPBEXchaText 3 2 6 3" xfId="5443"/>
    <cellStyle name="SAPBEXchaText 3 2 7" xfId="2614"/>
    <cellStyle name="SAPBEXchaText 3 2 7 2" xfId="4180"/>
    <cellStyle name="SAPBEXchaText 3 2 7 2 2" xfId="7135"/>
    <cellStyle name="SAPBEXchaText 3 2 7 3" xfId="5641"/>
    <cellStyle name="SAPBEXchaText 3 2 8" xfId="2911"/>
    <cellStyle name="SAPBEXchaText 3 2 8 2" xfId="5897"/>
    <cellStyle name="SAPBEXchaText 3 3" xfId="1039"/>
    <cellStyle name="SAPBEXchaText 3 3 2" xfId="1601"/>
    <cellStyle name="SAPBEXchaText 3 3 2 2" xfId="3283"/>
    <cellStyle name="SAPBEXchaText 3 3 2 2 2" xfId="6255"/>
    <cellStyle name="SAPBEXchaText 3 3 2 3" xfId="4723"/>
    <cellStyle name="SAPBEXchaText 3 3 3" xfId="1779"/>
    <cellStyle name="SAPBEXchaText 3 3 3 2" xfId="3450"/>
    <cellStyle name="SAPBEXchaText 3 3 3 2 2" xfId="6420"/>
    <cellStyle name="SAPBEXchaText 3 3 3 3" xfId="4856"/>
    <cellStyle name="SAPBEXchaText 3 3 4" xfId="2002"/>
    <cellStyle name="SAPBEXchaText 3 3 4 2" xfId="3654"/>
    <cellStyle name="SAPBEXchaText 3 3 4 2 2" xfId="6619"/>
    <cellStyle name="SAPBEXchaText 3 3 4 3" xfId="5055"/>
    <cellStyle name="SAPBEXchaText 3 3 5" xfId="2218"/>
    <cellStyle name="SAPBEXchaText 3 3 5 2" xfId="3856"/>
    <cellStyle name="SAPBEXchaText 3 3 5 2 2" xfId="6815"/>
    <cellStyle name="SAPBEXchaText 3 3 5 3" xfId="5260"/>
    <cellStyle name="SAPBEXchaText 3 3 6" xfId="2430"/>
    <cellStyle name="SAPBEXchaText 3 3 6 2" xfId="4055"/>
    <cellStyle name="SAPBEXchaText 3 3 6 2 2" xfId="7011"/>
    <cellStyle name="SAPBEXchaText 3 3 6 3" xfId="5463"/>
    <cellStyle name="SAPBEXchaText 3 3 7" xfId="2634"/>
    <cellStyle name="SAPBEXchaText 3 3 7 2" xfId="5661"/>
    <cellStyle name="SAPBEXchaText 3 3 8" xfId="2931"/>
    <cellStyle name="SAPBEXchaText 3 3 8 2" xfId="5917"/>
    <cellStyle name="SAPBEXchaText 3 4" xfId="1071"/>
    <cellStyle name="SAPBEXchaText 3 4 2" xfId="1632"/>
    <cellStyle name="SAPBEXchaText 3 4 2 2" xfId="3313"/>
    <cellStyle name="SAPBEXchaText 3 4 2 2 2" xfId="6284"/>
    <cellStyle name="SAPBEXchaText 3 4 2 3" xfId="4752"/>
    <cellStyle name="SAPBEXchaText 3 4 3" xfId="1811"/>
    <cellStyle name="SAPBEXchaText 3 4 3 2" xfId="3482"/>
    <cellStyle name="SAPBEXchaText 3 4 3 2 2" xfId="6451"/>
    <cellStyle name="SAPBEXchaText 3 4 3 3" xfId="4877"/>
    <cellStyle name="SAPBEXchaText 3 4 4" xfId="2034"/>
    <cellStyle name="SAPBEXchaText 3 4 4 2" xfId="3686"/>
    <cellStyle name="SAPBEXchaText 3 4 4 2 2" xfId="6650"/>
    <cellStyle name="SAPBEXchaText 3 4 4 3" xfId="5086"/>
    <cellStyle name="SAPBEXchaText 3 4 5" xfId="2250"/>
    <cellStyle name="SAPBEXchaText 3 4 5 2" xfId="3888"/>
    <cellStyle name="SAPBEXchaText 3 4 5 2 2" xfId="6846"/>
    <cellStyle name="SAPBEXchaText 3 4 5 3" xfId="5291"/>
    <cellStyle name="SAPBEXchaText 3 4 6" xfId="2462"/>
    <cellStyle name="SAPBEXchaText 3 4 6 2" xfId="4087"/>
    <cellStyle name="SAPBEXchaText 3 4 6 2 2" xfId="7042"/>
    <cellStyle name="SAPBEXchaText 3 4 6 3" xfId="5494"/>
    <cellStyle name="SAPBEXchaText 3 4 7" xfId="2666"/>
    <cellStyle name="SAPBEXchaText 3 4 7 2" xfId="5692"/>
    <cellStyle name="SAPBEXchaText 3 4 8" xfId="2963"/>
    <cellStyle name="SAPBEXchaText 3 4 8 2" xfId="5948"/>
    <cellStyle name="SAPBEXchaText 3 5" xfId="1468"/>
    <cellStyle name="SAPBEXchaText 3 5 2" xfId="3176"/>
    <cellStyle name="SAPBEXchaText 3 5 2 2" xfId="6150"/>
    <cellStyle name="SAPBEXchaText 3 6" xfId="1095"/>
    <cellStyle name="SAPBEXchaText 3 6 2" xfId="2984"/>
    <cellStyle name="SAPBEXchaText 3 6 2 2" xfId="5969"/>
    <cellStyle name="SAPBEXchaText 3 6 3" xfId="4405"/>
    <cellStyle name="SAPBEXchaText 3 7" xfId="1852"/>
    <cellStyle name="SAPBEXchaText 3 7 2" xfId="3516"/>
    <cellStyle name="SAPBEXchaText 3 7 2 2" xfId="6484"/>
    <cellStyle name="SAPBEXchaText 3 7 3" xfId="4910"/>
    <cellStyle name="SAPBEXchaText 3 8" xfId="2069"/>
    <cellStyle name="SAPBEXchaText 3 8 2" xfId="3717"/>
    <cellStyle name="SAPBEXchaText 3 8 2 2" xfId="6680"/>
    <cellStyle name="SAPBEXchaText 3 8 3" xfId="5117"/>
    <cellStyle name="SAPBEXchaText 3 9" xfId="2285"/>
    <cellStyle name="SAPBEXchaText 3 9 2" xfId="3919"/>
    <cellStyle name="SAPBEXchaText 3 9 2 2" xfId="6876"/>
    <cellStyle name="SAPBEXchaText 3 9 3" xfId="5322"/>
    <cellStyle name="SAPBEXchaText 4" xfId="926"/>
    <cellStyle name="SAPBEXchaText 4 2" xfId="1676"/>
    <cellStyle name="SAPBEXchaText 4 2 2" xfId="3352"/>
    <cellStyle name="SAPBEXchaText 4 2 2 2" xfId="6322"/>
    <cellStyle name="SAPBEXchaText 4 2 3" xfId="4792"/>
    <cellStyle name="SAPBEXchaText 4 3" xfId="1903"/>
    <cellStyle name="SAPBEXchaText 4 3 2" xfId="3557"/>
    <cellStyle name="SAPBEXchaText 4 3 2 2" xfId="6523"/>
    <cellStyle name="SAPBEXchaText 4 3 3" xfId="4957"/>
    <cellStyle name="SAPBEXchaText 4 4" xfId="2121"/>
    <cellStyle name="SAPBEXchaText 4 4 2" xfId="3759"/>
    <cellStyle name="SAPBEXchaText 4 4 2 2" xfId="6720"/>
    <cellStyle name="SAPBEXchaText 4 4 3" xfId="5165"/>
    <cellStyle name="SAPBEXchaText 4 5" xfId="2334"/>
    <cellStyle name="SAPBEXchaText 4 5 2" xfId="3959"/>
    <cellStyle name="SAPBEXchaText 4 5 2 2" xfId="6915"/>
    <cellStyle name="SAPBEXchaText 4 5 3" xfId="5367"/>
    <cellStyle name="SAPBEXchaText 4 6" xfId="2539"/>
    <cellStyle name="SAPBEXchaText 4 6 2" xfId="4152"/>
    <cellStyle name="SAPBEXchaText 4 6 2 2" xfId="7107"/>
    <cellStyle name="SAPBEXchaText 4 6 3" xfId="5566"/>
    <cellStyle name="SAPBEXchaText 4 7" xfId="2835"/>
    <cellStyle name="SAPBEXchaText 4 7 2" xfId="5822"/>
    <cellStyle name="SAPBEXchaText 4 8" xfId="4363"/>
    <cellStyle name="SAPBEXchaText 5" xfId="995"/>
    <cellStyle name="SAPBEXchaText 5 2" xfId="1564"/>
    <cellStyle name="SAPBEXchaText 5 2 2" xfId="3247"/>
    <cellStyle name="SAPBEXchaText 5 2 2 2" xfId="6219"/>
    <cellStyle name="SAPBEXchaText 5 2 3" xfId="4706"/>
    <cellStyle name="SAPBEXchaText 5 3" xfId="1735"/>
    <cellStyle name="SAPBEXchaText 5 3 2" xfId="3406"/>
    <cellStyle name="SAPBEXchaText 5 3 2 2" xfId="6376"/>
    <cellStyle name="SAPBEXchaText 5 4" xfId="1958"/>
    <cellStyle name="SAPBEXchaText 5 4 2" xfId="3610"/>
    <cellStyle name="SAPBEXchaText 5 4 2 2" xfId="6576"/>
    <cellStyle name="SAPBEXchaText 5 4 3" xfId="5012"/>
    <cellStyle name="SAPBEXchaText 5 5" xfId="2174"/>
    <cellStyle name="SAPBEXchaText 5 5 2" xfId="3812"/>
    <cellStyle name="SAPBEXchaText 5 5 2 2" xfId="6772"/>
    <cellStyle name="SAPBEXchaText 5 5 3" xfId="5217"/>
    <cellStyle name="SAPBEXchaText 5 6" xfId="2386"/>
    <cellStyle name="SAPBEXchaText 5 6 2" xfId="4011"/>
    <cellStyle name="SAPBEXchaText 5 6 2 2" xfId="6967"/>
    <cellStyle name="SAPBEXchaText 5 6 3" xfId="5419"/>
    <cellStyle name="SAPBEXchaText 5 7" xfId="2590"/>
    <cellStyle name="SAPBEXchaText 5 7 2" xfId="5617"/>
    <cellStyle name="SAPBEXchaText 5 8" xfId="2887"/>
    <cellStyle name="SAPBEXchaText 5 8 2" xfId="5873"/>
    <cellStyle name="SAPBEXchaText 6" xfId="1164"/>
    <cellStyle name="SAPBEXchaText 6 2" xfId="3030"/>
    <cellStyle name="SAPBEXchaText 6 2 2" xfId="6011"/>
    <cellStyle name="SAPBEXchaText 6 3" xfId="4455"/>
    <cellStyle name="SAPBEXchaText 7" xfId="1475"/>
    <cellStyle name="SAPBEXchaText 7 2" xfId="3182"/>
    <cellStyle name="SAPBEXchaText 7 2 2" xfId="6156"/>
    <cellStyle name="SAPBEXchaText 7 3" xfId="4636"/>
    <cellStyle name="SAPBEXchaText 8" xfId="1197"/>
    <cellStyle name="SAPBEXchaText 8 2" xfId="3046"/>
    <cellStyle name="SAPBEXchaText 8 2 2" xfId="6026"/>
    <cellStyle name="SAPBEXchaText 8 3" xfId="4477"/>
    <cellStyle name="SAPBEXchaText 9" xfId="1423"/>
    <cellStyle name="SAPBEXchaText 9 2" xfId="3138"/>
    <cellStyle name="SAPBEXchaText 9 2 2" xfId="6113"/>
    <cellStyle name="SAPBEXchaText 9 3" xfId="4603"/>
    <cellStyle name="SAPBEXchaText_Sch-3" xfId="826"/>
    <cellStyle name="SAPBEXexcBad7" xfId="233"/>
    <cellStyle name="SAPBEXexcBad7 2" xfId="1031"/>
    <cellStyle name="SAPBEXexcBad7 2 2" xfId="1771"/>
    <cellStyle name="SAPBEXexcBad7 2 2 2" xfId="3442"/>
    <cellStyle name="SAPBEXexcBad7 2 2 2 2" xfId="6412"/>
    <cellStyle name="SAPBEXexcBad7 2 2 3" xfId="4848"/>
    <cellStyle name="SAPBEXexcBad7 2 3" xfId="1994"/>
    <cellStyle name="SAPBEXexcBad7 2 3 2" xfId="3646"/>
    <cellStyle name="SAPBEXexcBad7 2 3 2 2" xfId="6612"/>
    <cellStyle name="SAPBEXexcBad7 2 3 3" xfId="5048"/>
    <cellStyle name="SAPBEXexcBad7 2 4" xfId="2210"/>
    <cellStyle name="SAPBEXexcBad7 2 4 2" xfId="3848"/>
    <cellStyle name="SAPBEXexcBad7 2 4 2 2" xfId="6808"/>
    <cellStyle name="SAPBEXexcBad7 2 4 3" xfId="5253"/>
    <cellStyle name="SAPBEXexcBad7 2 5" xfId="2422"/>
    <cellStyle name="SAPBEXexcBad7 2 5 2" xfId="4047"/>
    <cellStyle name="SAPBEXexcBad7 2 5 2 2" xfId="7003"/>
    <cellStyle name="SAPBEXexcBad7 2 5 3" xfId="5455"/>
    <cellStyle name="SAPBEXexcBad7 2 6" xfId="2626"/>
    <cellStyle name="SAPBEXexcBad7 2 6 2" xfId="4192"/>
    <cellStyle name="SAPBEXexcBad7 2 6 2 2" xfId="7147"/>
    <cellStyle name="SAPBEXexcBad7 2 6 3" xfId="5653"/>
    <cellStyle name="SAPBEXexcBad7 2 7" xfId="2923"/>
    <cellStyle name="SAPBEXexcBad7 2 7 2" xfId="5909"/>
    <cellStyle name="SAPBEXexcBad7 2 8" xfId="4392"/>
    <cellStyle name="SAPBEXexcBad7 3" xfId="996"/>
    <cellStyle name="SAPBEXexcBad7 3 2" xfId="1565"/>
    <cellStyle name="SAPBEXexcBad7 3 2 2" xfId="3248"/>
    <cellStyle name="SAPBEXexcBad7 3 2 2 2" xfId="6220"/>
    <cellStyle name="SAPBEXexcBad7 3 2 3" xfId="4707"/>
    <cellStyle name="SAPBEXexcBad7 3 3" xfId="1736"/>
    <cellStyle name="SAPBEXexcBad7 3 3 2" xfId="3407"/>
    <cellStyle name="SAPBEXexcBad7 3 3 2 2" xfId="6377"/>
    <cellStyle name="SAPBEXexcBad7 3 4" xfId="1959"/>
    <cellStyle name="SAPBEXexcBad7 3 4 2" xfId="3611"/>
    <cellStyle name="SAPBEXexcBad7 3 4 2 2" xfId="6577"/>
    <cellStyle name="SAPBEXexcBad7 3 4 3" xfId="5013"/>
    <cellStyle name="SAPBEXexcBad7 3 5" xfId="2175"/>
    <cellStyle name="SAPBEXexcBad7 3 5 2" xfId="3813"/>
    <cellStyle name="SAPBEXexcBad7 3 5 2 2" xfId="6773"/>
    <cellStyle name="SAPBEXexcBad7 3 5 3" xfId="5218"/>
    <cellStyle name="SAPBEXexcBad7 3 6" xfId="2387"/>
    <cellStyle name="SAPBEXexcBad7 3 6 2" xfId="4012"/>
    <cellStyle name="SAPBEXexcBad7 3 6 2 2" xfId="6968"/>
    <cellStyle name="SAPBEXexcBad7 3 6 3" xfId="5420"/>
    <cellStyle name="SAPBEXexcBad7 3 7" xfId="2591"/>
    <cellStyle name="SAPBEXexcBad7 3 7 2" xfId="5618"/>
    <cellStyle name="SAPBEXexcBad7 3 8" xfId="2888"/>
    <cellStyle name="SAPBEXexcBad7 3 8 2" xfId="5874"/>
    <cellStyle name="SAPBEXexcBad7 4" xfId="1163"/>
    <cellStyle name="SAPBEXexcBad7 4 2" xfId="3029"/>
    <cellStyle name="SAPBEXexcBad7 4 2 2" xfId="6010"/>
    <cellStyle name="SAPBEXexcBad7 4 3" xfId="4454"/>
    <cellStyle name="SAPBEXexcBad7 5" xfId="1489"/>
    <cellStyle name="SAPBEXexcBad7 5 2" xfId="3191"/>
    <cellStyle name="SAPBEXexcBad7 5 2 2" xfId="6165"/>
    <cellStyle name="SAPBEXexcBad7 5 3" xfId="4643"/>
    <cellStyle name="SAPBEXexcBad7 6" xfId="1196"/>
    <cellStyle name="SAPBEXexcBad7 6 2" xfId="3045"/>
    <cellStyle name="SAPBEXexcBad7 6 2 2" xfId="6025"/>
    <cellStyle name="SAPBEXexcBad7 6 3" xfId="4476"/>
    <cellStyle name="SAPBEXexcBad7 7" xfId="1425"/>
    <cellStyle name="SAPBEXexcBad7 7 2" xfId="3140"/>
    <cellStyle name="SAPBEXexcBad7 7 2 2" xfId="6115"/>
    <cellStyle name="SAPBEXexcBad7 7 3" xfId="4605"/>
    <cellStyle name="SAPBEXexcBad7 8" xfId="1119"/>
    <cellStyle name="SAPBEXexcBad7 8 2" xfId="2999"/>
    <cellStyle name="SAPBEXexcBad7 8 2 2" xfId="5983"/>
    <cellStyle name="SAPBEXexcBad7 8 3" xfId="4424"/>
    <cellStyle name="SAPBEXexcBad7 9" xfId="2739"/>
    <cellStyle name="SAPBEXexcBad7 9 2" xfId="5729"/>
    <cellStyle name="SAPBEXexcBad8" xfId="234"/>
    <cellStyle name="SAPBEXexcBad8 2" xfId="1023"/>
    <cellStyle name="SAPBEXexcBad8 2 2" xfId="1763"/>
    <cellStyle name="SAPBEXexcBad8 2 2 2" xfId="3434"/>
    <cellStyle name="SAPBEXexcBad8 2 2 2 2" xfId="6404"/>
    <cellStyle name="SAPBEXexcBad8 2 2 3" xfId="4840"/>
    <cellStyle name="SAPBEXexcBad8 2 3" xfId="1986"/>
    <cellStyle name="SAPBEXexcBad8 2 3 2" xfId="3638"/>
    <cellStyle name="SAPBEXexcBad8 2 3 2 2" xfId="6604"/>
    <cellStyle name="SAPBEXexcBad8 2 3 3" xfId="5040"/>
    <cellStyle name="SAPBEXexcBad8 2 4" xfId="2202"/>
    <cellStyle name="SAPBEXexcBad8 2 4 2" xfId="3840"/>
    <cellStyle name="SAPBEXexcBad8 2 4 2 2" xfId="6800"/>
    <cellStyle name="SAPBEXexcBad8 2 4 3" xfId="5245"/>
    <cellStyle name="SAPBEXexcBad8 2 5" xfId="2414"/>
    <cellStyle name="SAPBEXexcBad8 2 5 2" xfId="4039"/>
    <cellStyle name="SAPBEXexcBad8 2 5 2 2" xfId="6995"/>
    <cellStyle name="SAPBEXexcBad8 2 5 3" xfId="5447"/>
    <cellStyle name="SAPBEXexcBad8 2 6" xfId="2618"/>
    <cellStyle name="SAPBEXexcBad8 2 6 2" xfId="4184"/>
    <cellStyle name="SAPBEXexcBad8 2 6 2 2" xfId="7139"/>
    <cellStyle name="SAPBEXexcBad8 2 6 3" xfId="5645"/>
    <cellStyle name="SAPBEXexcBad8 2 7" xfId="2915"/>
    <cellStyle name="SAPBEXexcBad8 2 7 2" xfId="5901"/>
    <cellStyle name="SAPBEXexcBad8 2 8" xfId="4389"/>
    <cellStyle name="SAPBEXexcBad8 3" xfId="997"/>
    <cellStyle name="SAPBEXexcBad8 3 2" xfId="1566"/>
    <cellStyle name="SAPBEXexcBad8 3 2 2" xfId="3249"/>
    <cellStyle name="SAPBEXexcBad8 3 2 2 2" xfId="6221"/>
    <cellStyle name="SAPBEXexcBad8 3 2 3" xfId="4708"/>
    <cellStyle name="SAPBEXexcBad8 3 3" xfId="1737"/>
    <cellStyle name="SAPBEXexcBad8 3 3 2" xfId="3408"/>
    <cellStyle name="SAPBEXexcBad8 3 3 2 2" xfId="6378"/>
    <cellStyle name="SAPBEXexcBad8 3 4" xfId="1960"/>
    <cellStyle name="SAPBEXexcBad8 3 4 2" xfId="3612"/>
    <cellStyle name="SAPBEXexcBad8 3 4 2 2" xfId="6578"/>
    <cellStyle name="SAPBEXexcBad8 3 4 3" xfId="5014"/>
    <cellStyle name="SAPBEXexcBad8 3 5" xfId="2176"/>
    <cellStyle name="SAPBEXexcBad8 3 5 2" xfId="3814"/>
    <cellStyle name="SAPBEXexcBad8 3 5 2 2" xfId="6774"/>
    <cellStyle name="SAPBEXexcBad8 3 5 3" xfId="5219"/>
    <cellStyle name="SAPBEXexcBad8 3 6" xfId="2388"/>
    <cellStyle name="SAPBEXexcBad8 3 6 2" xfId="4013"/>
    <cellStyle name="SAPBEXexcBad8 3 6 2 2" xfId="6969"/>
    <cellStyle name="SAPBEXexcBad8 3 6 3" xfId="5421"/>
    <cellStyle name="SAPBEXexcBad8 3 7" xfId="2592"/>
    <cellStyle name="SAPBEXexcBad8 3 7 2" xfId="5619"/>
    <cellStyle name="SAPBEXexcBad8 3 8" xfId="2889"/>
    <cellStyle name="SAPBEXexcBad8 3 8 2" xfId="5875"/>
    <cellStyle name="SAPBEXexcBad8 4" xfId="1162"/>
    <cellStyle name="SAPBEXexcBad8 4 2" xfId="3028"/>
    <cellStyle name="SAPBEXexcBad8 4 2 2" xfId="6009"/>
    <cellStyle name="SAPBEXexcBad8 4 3" xfId="4453"/>
    <cellStyle name="SAPBEXexcBad8 5" xfId="1253"/>
    <cellStyle name="SAPBEXexcBad8 5 2" xfId="3070"/>
    <cellStyle name="SAPBEXexcBad8 5 2 2" xfId="6049"/>
    <cellStyle name="SAPBEXexcBad8 5 3" xfId="4516"/>
    <cellStyle name="SAPBEXexcBad8 6" xfId="1195"/>
    <cellStyle name="SAPBEXexcBad8 6 2" xfId="3044"/>
    <cellStyle name="SAPBEXexcBad8 6 2 2" xfId="6024"/>
    <cellStyle name="SAPBEXexcBad8 6 3" xfId="4475"/>
    <cellStyle name="SAPBEXexcBad8 7" xfId="1426"/>
    <cellStyle name="SAPBEXexcBad8 7 2" xfId="3141"/>
    <cellStyle name="SAPBEXexcBad8 7 2 2" xfId="6116"/>
    <cellStyle name="SAPBEXexcBad8 7 3" xfId="4606"/>
    <cellStyle name="SAPBEXexcBad8 8" xfId="1400"/>
    <cellStyle name="SAPBEXexcBad8 8 2" xfId="3129"/>
    <cellStyle name="SAPBEXexcBad8 8 2 2" xfId="6104"/>
    <cellStyle name="SAPBEXexcBad8 8 3" xfId="4588"/>
    <cellStyle name="SAPBEXexcBad8 9" xfId="2740"/>
    <cellStyle name="SAPBEXexcBad8 9 2" xfId="5730"/>
    <cellStyle name="SAPBEXexcBad9" xfId="235"/>
    <cellStyle name="SAPBEXexcBad9 2" xfId="943"/>
    <cellStyle name="SAPBEXexcBad9 2 2" xfId="1693"/>
    <cellStyle name="SAPBEXexcBad9 2 2 2" xfId="3369"/>
    <cellStyle name="SAPBEXexcBad9 2 2 2 2" xfId="6339"/>
    <cellStyle name="SAPBEXexcBad9 2 2 3" xfId="4807"/>
    <cellStyle name="SAPBEXexcBad9 2 3" xfId="1920"/>
    <cellStyle name="SAPBEXexcBad9 2 3 2" xfId="3574"/>
    <cellStyle name="SAPBEXexcBad9 2 3 2 2" xfId="6540"/>
    <cellStyle name="SAPBEXexcBad9 2 3 3" xfId="4974"/>
    <cellStyle name="SAPBEXexcBad9 2 4" xfId="2138"/>
    <cellStyle name="SAPBEXexcBad9 2 4 2" xfId="3776"/>
    <cellStyle name="SAPBEXexcBad9 2 4 2 2" xfId="6737"/>
    <cellStyle name="SAPBEXexcBad9 2 4 3" xfId="5182"/>
    <cellStyle name="SAPBEXexcBad9 2 5" xfId="2351"/>
    <cellStyle name="SAPBEXexcBad9 2 5 2" xfId="3976"/>
    <cellStyle name="SAPBEXexcBad9 2 5 2 2" xfId="6932"/>
    <cellStyle name="SAPBEXexcBad9 2 5 3" xfId="5384"/>
    <cellStyle name="SAPBEXexcBad9 2 6" xfId="2556"/>
    <cellStyle name="SAPBEXexcBad9 2 6 2" xfId="4165"/>
    <cellStyle name="SAPBEXexcBad9 2 6 2 2" xfId="7120"/>
    <cellStyle name="SAPBEXexcBad9 2 6 3" xfId="5583"/>
    <cellStyle name="SAPBEXexcBad9 2 7" xfId="2852"/>
    <cellStyle name="SAPBEXexcBad9 2 7 2" xfId="5839"/>
    <cellStyle name="SAPBEXexcBad9 2 8" xfId="4376"/>
    <cellStyle name="SAPBEXexcBad9 3" xfId="998"/>
    <cellStyle name="SAPBEXexcBad9 3 2" xfId="1567"/>
    <cellStyle name="SAPBEXexcBad9 3 2 2" xfId="3250"/>
    <cellStyle name="SAPBEXexcBad9 3 2 2 2" xfId="6222"/>
    <cellStyle name="SAPBEXexcBad9 3 2 3" xfId="4709"/>
    <cellStyle name="SAPBEXexcBad9 3 3" xfId="1738"/>
    <cellStyle name="SAPBEXexcBad9 3 3 2" xfId="3409"/>
    <cellStyle name="SAPBEXexcBad9 3 3 2 2" xfId="6379"/>
    <cellStyle name="SAPBEXexcBad9 3 4" xfId="1961"/>
    <cellStyle name="SAPBEXexcBad9 3 4 2" xfId="3613"/>
    <cellStyle name="SAPBEXexcBad9 3 4 2 2" xfId="6579"/>
    <cellStyle name="SAPBEXexcBad9 3 4 3" xfId="5015"/>
    <cellStyle name="SAPBEXexcBad9 3 5" xfId="2177"/>
    <cellStyle name="SAPBEXexcBad9 3 5 2" xfId="3815"/>
    <cellStyle name="SAPBEXexcBad9 3 5 2 2" xfId="6775"/>
    <cellStyle name="SAPBEXexcBad9 3 5 3" xfId="5220"/>
    <cellStyle name="SAPBEXexcBad9 3 6" xfId="2389"/>
    <cellStyle name="SAPBEXexcBad9 3 6 2" xfId="4014"/>
    <cellStyle name="SAPBEXexcBad9 3 6 2 2" xfId="6970"/>
    <cellStyle name="SAPBEXexcBad9 3 6 3" xfId="5422"/>
    <cellStyle name="SAPBEXexcBad9 3 7" xfId="2593"/>
    <cellStyle name="SAPBEXexcBad9 3 7 2" xfId="5620"/>
    <cellStyle name="SAPBEXexcBad9 3 8" xfId="2890"/>
    <cellStyle name="SAPBEXexcBad9 3 8 2" xfId="5876"/>
    <cellStyle name="SAPBEXexcBad9 4" xfId="1161"/>
    <cellStyle name="SAPBEXexcBad9 4 2" xfId="3027"/>
    <cellStyle name="SAPBEXexcBad9 4 2 2" xfId="6008"/>
    <cellStyle name="SAPBEXexcBad9 4 3" xfId="4452"/>
    <cellStyle name="SAPBEXexcBad9 5" xfId="1254"/>
    <cellStyle name="SAPBEXexcBad9 5 2" xfId="3071"/>
    <cellStyle name="SAPBEXexcBad9 5 2 2" xfId="6050"/>
    <cellStyle name="SAPBEXexcBad9 5 3" xfId="4517"/>
    <cellStyle name="SAPBEXexcBad9 6" xfId="1194"/>
    <cellStyle name="SAPBEXexcBad9 6 2" xfId="3043"/>
    <cellStyle name="SAPBEXexcBad9 6 2 2" xfId="6023"/>
    <cellStyle name="SAPBEXexcBad9 6 3" xfId="4474"/>
    <cellStyle name="SAPBEXexcBad9 7" xfId="1427"/>
    <cellStyle name="SAPBEXexcBad9 7 2" xfId="3142"/>
    <cellStyle name="SAPBEXexcBad9 7 2 2" xfId="6117"/>
    <cellStyle name="SAPBEXexcBad9 7 3" xfId="4607"/>
    <cellStyle name="SAPBEXexcBad9 8" xfId="1511"/>
    <cellStyle name="SAPBEXexcBad9 8 2" xfId="3200"/>
    <cellStyle name="SAPBEXexcBad9 8 2 2" xfId="6173"/>
    <cellStyle name="SAPBEXexcBad9 8 3" xfId="4659"/>
    <cellStyle name="SAPBEXexcBad9 9" xfId="2741"/>
    <cellStyle name="SAPBEXexcBad9 9 2" xfId="5731"/>
    <cellStyle name="SAPBEXexcCritical4" xfId="236"/>
    <cellStyle name="SAPBEXexcCritical4 2" xfId="925"/>
    <cellStyle name="SAPBEXexcCritical4 2 2" xfId="1675"/>
    <cellStyle name="SAPBEXexcCritical4 2 2 2" xfId="3351"/>
    <cellStyle name="SAPBEXexcCritical4 2 2 2 2" xfId="6321"/>
    <cellStyle name="SAPBEXexcCritical4 2 2 3" xfId="4791"/>
    <cellStyle name="SAPBEXexcCritical4 2 3" xfId="1902"/>
    <cellStyle name="SAPBEXexcCritical4 2 3 2" xfId="3556"/>
    <cellStyle name="SAPBEXexcCritical4 2 3 2 2" xfId="6522"/>
    <cellStyle name="SAPBEXexcCritical4 2 3 3" xfId="4956"/>
    <cellStyle name="SAPBEXexcCritical4 2 4" xfId="2120"/>
    <cellStyle name="SAPBEXexcCritical4 2 4 2" xfId="3758"/>
    <cellStyle name="SAPBEXexcCritical4 2 4 2 2" xfId="6719"/>
    <cellStyle name="SAPBEXexcCritical4 2 4 3" xfId="5164"/>
    <cellStyle name="SAPBEXexcCritical4 2 5" xfId="2333"/>
    <cellStyle name="SAPBEXexcCritical4 2 5 2" xfId="3958"/>
    <cellStyle name="SAPBEXexcCritical4 2 5 2 2" xfId="6914"/>
    <cellStyle name="SAPBEXexcCritical4 2 5 3" xfId="5366"/>
    <cellStyle name="SAPBEXexcCritical4 2 6" xfId="2538"/>
    <cellStyle name="SAPBEXexcCritical4 2 6 2" xfId="4151"/>
    <cellStyle name="SAPBEXexcCritical4 2 6 2 2" xfId="7106"/>
    <cellStyle name="SAPBEXexcCritical4 2 6 3" xfId="5565"/>
    <cellStyle name="SAPBEXexcCritical4 2 7" xfId="2834"/>
    <cellStyle name="SAPBEXexcCritical4 2 7 2" xfId="5821"/>
    <cellStyle name="SAPBEXexcCritical4 2 8" xfId="4362"/>
    <cellStyle name="SAPBEXexcCritical4 3" xfId="1000"/>
    <cellStyle name="SAPBEXexcCritical4 3 2" xfId="1569"/>
    <cellStyle name="SAPBEXexcCritical4 3 2 2" xfId="3252"/>
    <cellStyle name="SAPBEXexcCritical4 3 2 2 2" xfId="6224"/>
    <cellStyle name="SAPBEXexcCritical4 3 2 3" xfId="4711"/>
    <cellStyle name="SAPBEXexcCritical4 3 3" xfId="1740"/>
    <cellStyle name="SAPBEXexcCritical4 3 3 2" xfId="3411"/>
    <cellStyle name="SAPBEXexcCritical4 3 3 2 2" xfId="6381"/>
    <cellStyle name="SAPBEXexcCritical4 3 4" xfId="1963"/>
    <cellStyle name="SAPBEXexcCritical4 3 4 2" xfId="3615"/>
    <cellStyle name="SAPBEXexcCritical4 3 4 2 2" xfId="6581"/>
    <cellStyle name="SAPBEXexcCritical4 3 4 3" xfId="5017"/>
    <cellStyle name="SAPBEXexcCritical4 3 5" xfId="2179"/>
    <cellStyle name="SAPBEXexcCritical4 3 5 2" xfId="3817"/>
    <cellStyle name="SAPBEXexcCritical4 3 5 2 2" xfId="6777"/>
    <cellStyle name="SAPBEXexcCritical4 3 5 3" xfId="5222"/>
    <cellStyle name="SAPBEXexcCritical4 3 6" xfId="2391"/>
    <cellStyle name="SAPBEXexcCritical4 3 6 2" xfId="4016"/>
    <cellStyle name="SAPBEXexcCritical4 3 6 2 2" xfId="6972"/>
    <cellStyle name="SAPBEXexcCritical4 3 6 3" xfId="5424"/>
    <cellStyle name="SAPBEXexcCritical4 3 7" xfId="2595"/>
    <cellStyle name="SAPBEXexcCritical4 3 7 2" xfId="5622"/>
    <cellStyle name="SAPBEXexcCritical4 3 8" xfId="2892"/>
    <cellStyle name="SAPBEXexcCritical4 3 8 2" xfId="5878"/>
    <cellStyle name="SAPBEXexcCritical4 4" xfId="1160"/>
    <cellStyle name="SAPBEXexcCritical4 4 2" xfId="3026"/>
    <cellStyle name="SAPBEXexcCritical4 4 2 2" xfId="6007"/>
    <cellStyle name="SAPBEXexcCritical4 4 3" xfId="4451"/>
    <cellStyle name="SAPBEXexcCritical4 5" xfId="1256"/>
    <cellStyle name="SAPBEXexcCritical4 5 2" xfId="3072"/>
    <cellStyle name="SAPBEXexcCritical4 5 2 2" xfId="6051"/>
    <cellStyle name="SAPBEXexcCritical4 5 3" xfId="4518"/>
    <cellStyle name="SAPBEXexcCritical4 6" xfId="1192"/>
    <cellStyle name="SAPBEXexcCritical4 6 2" xfId="3042"/>
    <cellStyle name="SAPBEXexcCritical4 6 2 2" xfId="6022"/>
    <cellStyle name="SAPBEXexcCritical4 6 3" xfId="4473"/>
    <cellStyle name="SAPBEXexcCritical4 7" xfId="1471"/>
    <cellStyle name="SAPBEXexcCritical4 7 2" xfId="3179"/>
    <cellStyle name="SAPBEXexcCritical4 7 2 2" xfId="6153"/>
    <cellStyle name="SAPBEXexcCritical4 7 3" xfId="4632"/>
    <cellStyle name="SAPBEXexcCritical4 8" xfId="1114"/>
    <cellStyle name="SAPBEXexcCritical4 8 2" xfId="2996"/>
    <cellStyle name="SAPBEXexcCritical4 8 2 2" xfId="5980"/>
    <cellStyle name="SAPBEXexcCritical4 8 3" xfId="4421"/>
    <cellStyle name="SAPBEXexcCritical4 9" xfId="2742"/>
    <cellStyle name="SAPBEXexcCritical4 9 2" xfId="5732"/>
    <cellStyle name="SAPBEXexcCritical5" xfId="237"/>
    <cellStyle name="SAPBEXexcCritical5 2" xfId="936"/>
    <cellStyle name="SAPBEXexcCritical5 2 2" xfId="1686"/>
    <cellStyle name="SAPBEXexcCritical5 2 2 2" xfId="3362"/>
    <cellStyle name="SAPBEXexcCritical5 2 2 2 2" xfId="6332"/>
    <cellStyle name="SAPBEXexcCritical5 2 2 3" xfId="4801"/>
    <cellStyle name="SAPBEXexcCritical5 2 3" xfId="1913"/>
    <cellStyle name="SAPBEXexcCritical5 2 3 2" xfId="3567"/>
    <cellStyle name="SAPBEXexcCritical5 2 3 2 2" xfId="6533"/>
    <cellStyle name="SAPBEXexcCritical5 2 3 3" xfId="4967"/>
    <cellStyle name="SAPBEXexcCritical5 2 4" xfId="2131"/>
    <cellStyle name="SAPBEXexcCritical5 2 4 2" xfId="3769"/>
    <cellStyle name="SAPBEXexcCritical5 2 4 2 2" xfId="6730"/>
    <cellStyle name="SAPBEXexcCritical5 2 4 3" xfId="5175"/>
    <cellStyle name="SAPBEXexcCritical5 2 5" xfId="2344"/>
    <cellStyle name="SAPBEXexcCritical5 2 5 2" xfId="3969"/>
    <cellStyle name="SAPBEXexcCritical5 2 5 2 2" xfId="6925"/>
    <cellStyle name="SAPBEXexcCritical5 2 5 3" xfId="5377"/>
    <cellStyle name="SAPBEXexcCritical5 2 6" xfId="2549"/>
    <cellStyle name="SAPBEXexcCritical5 2 6 2" xfId="4160"/>
    <cellStyle name="SAPBEXexcCritical5 2 6 2 2" xfId="7115"/>
    <cellStyle name="SAPBEXexcCritical5 2 6 3" xfId="5576"/>
    <cellStyle name="SAPBEXexcCritical5 2 7" xfId="2845"/>
    <cellStyle name="SAPBEXexcCritical5 2 7 2" xfId="5832"/>
    <cellStyle name="SAPBEXexcCritical5 2 8" xfId="4371"/>
    <cellStyle name="SAPBEXexcCritical5 3" xfId="1055"/>
    <cellStyle name="SAPBEXexcCritical5 3 2" xfId="1616"/>
    <cellStyle name="SAPBEXexcCritical5 3 2 2" xfId="3297"/>
    <cellStyle name="SAPBEXexcCritical5 3 2 2 2" xfId="6268"/>
    <cellStyle name="SAPBEXexcCritical5 3 2 3" xfId="4736"/>
    <cellStyle name="SAPBEXexcCritical5 3 3" xfId="1795"/>
    <cellStyle name="SAPBEXexcCritical5 3 3 2" xfId="3466"/>
    <cellStyle name="SAPBEXexcCritical5 3 3 2 2" xfId="6435"/>
    <cellStyle name="SAPBEXexcCritical5 3 4" xfId="2018"/>
    <cellStyle name="SAPBEXexcCritical5 3 4 2" xfId="3670"/>
    <cellStyle name="SAPBEXexcCritical5 3 4 2 2" xfId="6634"/>
    <cellStyle name="SAPBEXexcCritical5 3 4 3" xfId="5070"/>
    <cellStyle name="SAPBEXexcCritical5 3 5" xfId="2234"/>
    <cellStyle name="SAPBEXexcCritical5 3 5 2" xfId="3872"/>
    <cellStyle name="SAPBEXexcCritical5 3 5 2 2" xfId="6830"/>
    <cellStyle name="SAPBEXexcCritical5 3 5 3" xfId="5275"/>
    <cellStyle name="SAPBEXexcCritical5 3 6" xfId="2446"/>
    <cellStyle name="SAPBEXexcCritical5 3 6 2" xfId="4071"/>
    <cellStyle name="SAPBEXexcCritical5 3 6 2 2" xfId="7026"/>
    <cellStyle name="SAPBEXexcCritical5 3 6 3" xfId="5478"/>
    <cellStyle name="SAPBEXexcCritical5 3 7" xfId="2650"/>
    <cellStyle name="SAPBEXexcCritical5 3 7 2" xfId="5676"/>
    <cellStyle name="SAPBEXexcCritical5 3 8" xfId="2947"/>
    <cellStyle name="SAPBEXexcCritical5 3 8 2" xfId="5932"/>
    <cellStyle name="SAPBEXexcCritical5 4" xfId="1159"/>
    <cellStyle name="SAPBEXexcCritical5 4 2" xfId="3025"/>
    <cellStyle name="SAPBEXexcCritical5 4 2 2" xfId="6006"/>
    <cellStyle name="SAPBEXexcCritical5 4 3" xfId="4450"/>
    <cellStyle name="SAPBEXexcCritical5 5" xfId="1257"/>
    <cellStyle name="SAPBEXexcCritical5 5 2" xfId="3073"/>
    <cellStyle name="SAPBEXexcCritical5 5 2 2" xfId="6052"/>
    <cellStyle name="SAPBEXexcCritical5 5 3" xfId="4519"/>
    <cellStyle name="SAPBEXexcCritical5 6" xfId="1191"/>
    <cellStyle name="SAPBEXexcCritical5 6 2" xfId="3041"/>
    <cellStyle name="SAPBEXexcCritical5 6 2 2" xfId="6021"/>
    <cellStyle name="SAPBEXexcCritical5 6 3" xfId="4472"/>
    <cellStyle name="SAPBEXexcCritical5 7" xfId="1104"/>
    <cellStyle name="SAPBEXexcCritical5 7 2" xfId="2992"/>
    <cellStyle name="SAPBEXexcCritical5 7 2 2" xfId="5977"/>
    <cellStyle name="SAPBEXexcCritical5 7 3" xfId="4413"/>
    <cellStyle name="SAPBEXexcCritical5 8" xfId="1113"/>
    <cellStyle name="SAPBEXexcCritical5 8 2" xfId="2995"/>
    <cellStyle name="SAPBEXexcCritical5 8 2 2" xfId="5979"/>
    <cellStyle name="SAPBEXexcCritical5 8 3" xfId="4420"/>
    <cellStyle name="SAPBEXexcCritical5 9" xfId="2743"/>
    <cellStyle name="SAPBEXexcCritical5 9 2" xfId="5733"/>
    <cellStyle name="SAPBEXexcCritical6" xfId="238"/>
    <cellStyle name="SAPBEXexcCritical6 2" xfId="942"/>
    <cellStyle name="SAPBEXexcCritical6 2 2" xfId="1692"/>
    <cellStyle name="SAPBEXexcCritical6 2 2 2" xfId="3368"/>
    <cellStyle name="SAPBEXexcCritical6 2 2 2 2" xfId="6338"/>
    <cellStyle name="SAPBEXexcCritical6 2 2 3" xfId="4806"/>
    <cellStyle name="SAPBEXexcCritical6 2 3" xfId="1919"/>
    <cellStyle name="SAPBEXexcCritical6 2 3 2" xfId="3573"/>
    <cellStyle name="SAPBEXexcCritical6 2 3 2 2" xfId="6539"/>
    <cellStyle name="SAPBEXexcCritical6 2 3 3" xfId="4973"/>
    <cellStyle name="SAPBEXexcCritical6 2 4" xfId="2137"/>
    <cellStyle name="SAPBEXexcCritical6 2 4 2" xfId="3775"/>
    <cellStyle name="SAPBEXexcCritical6 2 4 2 2" xfId="6736"/>
    <cellStyle name="SAPBEXexcCritical6 2 4 3" xfId="5181"/>
    <cellStyle name="SAPBEXexcCritical6 2 5" xfId="2350"/>
    <cellStyle name="SAPBEXexcCritical6 2 5 2" xfId="3975"/>
    <cellStyle name="SAPBEXexcCritical6 2 5 2 2" xfId="6931"/>
    <cellStyle name="SAPBEXexcCritical6 2 5 3" xfId="5383"/>
    <cellStyle name="SAPBEXexcCritical6 2 6" xfId="2555"/>
    <cellStyle name="SAPBEXexcCritical6 2 6 2" xfId="4164"/>
    <cellStyle name="SAPBEXexcCritical6 2 6 2 2" xfId="7119"/>
    <cellStyle name="SAPBEXexcCritical6 2 6 3" xfId="5582"/>
    <cellStyle name="SAPBEXexcCritical6 2 7" xfId="2851"/>
    <cellStyle name="SAPBEXexcCritical6 2 7 2" xfId="5838"/>
    <cellStyle name="SAPBEXexcCritical6 2 8" xfId="4375"/>
    <cellStyle name="SAPBEXexcCritical6 3" xfId="969"/>
    <cellStyle name="SAPBEXexcCritical6 3 2" xfId="1544"/>
    <cellStyle name="SAPBEXexcCritical6 3 2 2" xfId="3228"/>
    <cellStyle name="SAPBEXexcCritical6 3 2 2 2" xfId="6201"/>
    <cellStyle name="SAPBEXexcCritical6 3 2 3" xfId="4689"/>
    <cellStyle name="SAPBEXexcCritical6 3 3" xfId="1716"/>
    <cellStyle name="SAPBEXexcCritical6 3 3 2" xfId="3389"/>
    <cellStyle name="SAPBEXexcCritical6 3 3 2 2" xfId="6359"/>
    <cellStyle name="SAPBEXexcCritical6 3 4" xfId="1940"/>
    <cellStyle name="SAPBEXexcCritical6 3 4 2" xfId="3594"/>
    <cellStyle name="SAPBEXexcCritical6 3 4 2 2" xfId="6560"/>
    <cellStyle name="SAPBEXexcCritical6 3 4 3" xfId="4994"/>
    <cellStyle name="SAPBEXexcCritical6 3 5" xfId="2157"/>
    <cellStyle name="SAPBEXexcCritical6 3 5 2" xfId="3795"/>
    <cellStyle name="SAPBEXexcCritical6 3 5 2 2" xfId="6756"/>
    <cellStyle name="SAPBEXexcCritical6 3 5 3" xfId="5201"/>
    <cellStyle name="SAPBEXexcCritical6 3 6" xfId="2370"/>
    <cellStyle name="SAPBEXexcCritical6 3 6 2" xfId="3995"/>
    <cellStyle name="SAPBEXexcCritical6 3 6 2 2" xfId="6951"/>
    <cellStyle name="SAPBEXexcCritical6 3 6 3" xfId="5403"/>
    <cellStyle name="SAPBEXexcCritical6 3 7" xfId="2575"/>
    <cellStyle name="SAPBEXexcCritical6 3 7 2" xfId="5602"/>
    <cellStyle name="SAPBEXexcCritical6 3 8" xfId="2871"/>
    <cellStyle name="SAPBEXexcCritical6 3 8 2" xfId="5858"/>
    <cellStyle name="SAPBEXexcCritical6 4" xfId="1158"/>
    <cellStyle name="SAPBEXexcCritical6 4 2" xfId="3024"/>
    <cellStyle name="SAPBEXexcCritical6 4 2 2" xfId="6005"/>
    <cellStyle name="SAPBEXexcCritical6 4 3" xfId="4449"/>
    <cellStyle name="SAPBEXexcCritical6 5" xfId="1258"/>
    <cellStyle name="SAPBEXexcCritical6 5 2" xfId="3074"/>
    <cellStyle name="SAPBEXexcCritical6 5 2 2" xfId="6053"/>
    <cellStyle name="SAPBEXexcCritical6 5 3" xfId="4520"/>
    <cellStyle name="SAPBEXexcCritical6 6" xfId="1190"/>
    <cellStyle name="SAPBEXexcCritical6 6 2" xfId="3040"/>
    <cellStyle name="SAPBEXexcCritical6 6 2 2" xfId="6020"/>
    <cellStyle name="SAPBEXexcCritical6 6 3" xfId="4471"/>
    <cellStyle name="SAPBEXexcCritical6 7" xfId="1453"/>
    <cellStyle name="SAPBEXexcCritical6 7 2" xfId="3163"/>
    <cellStyle name="SAPBEXexcCritical6 7 2 2" xfId="6138"/>
    <cellStyle name="SAPBEXexcCritical6 7 3" xfId="4629"/>
    <cellStyle name="SAPBEXexcCritical6 8" xfId="1833"/>
    <cellStyle name="SAPBEXexcCritical6 8 2" xfId="3499"/>
    <cellStyle name="SAPBEXexcCritical6 8 2 2" xfId="6467"/>
    <cellStyle name="SAPBEXexcCritical6 8 3" xfId="4893"/>
    <cellStyle name="SAPBEXexcCritical6 9" xfId="2744"/>
    <cellStyle name="SAPBEXexcCritical6 9 2" xfId="5734"/>
    <cellStyle name="SAPBEXexcGood1" xfId="239"/>
    <cellStyle name="SAPBEXexcGood1 2" xfId="939"/>
    <cellStyle name="SAPBEXexcGood1 2 2" xfId="1689"/>
    <cellStyle name="SAPBEXexcGood1 2 2 2" xfId="3365"/>
    <cellStyle name="SAPBEXexcGood1 2 2 2 2" xfId="6335"/>
    <cellStyle name="SAPBEXexcGood1 2 2 3" xfId="4803"/>
    <cellStyle name="SAPBEXexcGood1 2 3" xfId="1916"/>
    <cellStyle name="SAPBEXexcGood1 2 3 2" xfId="3570"/>
    <cellStyle name="SAPBEXexcGood1 2 3 2 2" xfId="6536"/>
    <cellStyle name="SAPBEXexcGood1 2 3 3" xfId="4970"/>
    <cellStyle name="SAPBEXexcGood1 2 4" xfId="2134"/>
    <cellStyle name="SAPBEXexcGood1 2 4 2" xfId="3772"/>
    <cellStyle name="SAPBEXexcGood1 2 4 2 2" xfId="6733"/>
    <cellStyle name="SAPBEXexcGood1 2 4 3" xfId="5178"/>
    <cellStyle name="SAPBEXexcGood1 2 5" xfId="2347"/>
    <cellStyle name="SAPBEXexcGood1 2 5 2" xfId="3972"/>
    <cellStyle name="SAPBEXexcGood1 2 5 2 2" xfId="6928"/>
    <cellStyle name="SAPBEXexcGood1 2 5 3" xfId="5380"/>
    <cellStyle name="SAPBEXexcGood1 2 6" xfId="2552"/>
    <cellStyle name="SAPBEXexcGood1 2 6 2" xfId="4161"/>
    <cellStyle name="SAPBEXexcGood1 2 6 2 2" xfId="7116"/>
    <cellStyle name="SAPBEXexcGood1 2 6 3" xfId="5579"/>
    <cellStyle name="SAPBEXexcGood1 2 7" xfId="2848"/>
    <cellStyle name="SAPBEXexcGood1 2 7 2" xfId="5835"/>
    <cellStyle name="SAPBEXexcGood1 2 8" xfId="4372"/>
    <cellStyle name="SAPBEXexcGood1 3" xfId="938"/>
    <cellStyle name="SAPBEXexcGood1 3 2" xfId="1520"/>
    <cellStyle name="SAPBEXexcGood1 3 2 2" xfId="3206"/>
    <cellStyle name="SAPBEXexcGood1 3 2 2 2" xfId="6179"/>
    <cellStyle name="SAPBEXexcGood1 3 2 3" xfId="4666"/>
    <cellStyle name="SAPBEXexcGood1 3 3" xfId="1688"/>
    <cellStyle name="SAPBEXexcGood1 3 3 2" xfId="3364"/>
    <cellStyle name="SAPBEXexcGood1 3 3 2 2" xfId="6334"/>
    <cellStyle name="SAPBEXexcGood1 3 4" xfId="1915"/>
    <cellStyle name="SAPBEXexcGood1 3 4 2" xfId="3569"/>
    <cellStyle name="SAPBEXexcGood1 3 4 2 2" xfId="6535"/>
    <cellStyle name="SAPBEXexcGood1 3 4 3" xfId="4969"/>
    <cellStyle name="SAPBEXexcGood1 3 5" xfId="2133"/>
    <cellStyle name="SAPBEXexcGood1 3 5 2" xfId="3771"/>
    <cellStyle name="SAPBEXexcGood1 3 5 2 2" xfId="6732"/>
    <cellStyle name="SAPBEXexcGood1 3 5 3" xfId="5177"/>
    <cellStyle name="SAPBEXexcGood1 3 6" xfId="2346"/>
    <cellStyle name="SAPBEXexcGood1 3 6 2" xfId="3971"/>
    <cellStyle name="SAPBEXexcGood1 3 6 2 2" xfId="6927"/>
    <cellStyle name="SAPBEXexcGood1 3 6 3" xfId="5379"/>
    <cellStyle name="SAPBEXexcGood1 3 7" xfId="2551"/>
    <cellStyle name="SAPBEXexcGood1 3 7 2" xfId="5578"/>
    <cellStyle name="SAPBEXexcGood1 3 8" xfId="2847"/>
    <cellStyle name="SAPBEXexcGood1 3 8 2" xfId="5834"/>
    <cellStyle name="SAPBEXexcGood1 4" xfId="1157"/>
    <cellStyle name="SAPBEXexcGood1 4 2" xfId="3023"/>
    <cellStyle name="SAPBEXexcGood1 4 2 2" xfId="6004"/>
    <cellStyle name="SAPBEXexcGood1 4 3" xfId="4448"/>
    <cellStyle name="SAPBEXexcGood1 5" xfId="1259"/>
    <cellStyle name="SAPBEXexcGood1 5 2" xfId="3075"/>
    <cellStyle name="SAPBEXexcGood1 5 2 2" xfId="6054"/>
    <cellStyle name="SAPBEXexcGood1 5 3" xfId="4521"/>
    <cellStyle name="SAPBEXexcGood1 6" xfId="1398"/>
    <cellStyle name="SAPBEXexcGood1 6 2" xfId="3127"/>
    <cellStyle name="SAPBEXexcGood1 6 2 2" xfId="6102"/>
    <cellStyle name="SAPBEXexcGood1 6 3" xfId="4586"/>
    <cellStyle name="SAPBEXexcGood1 7" xfId="209"/>
    <cellStyle name="SAPBEXexcGood1 7 2" xfId="2733"/>
    <cellStyle name="SAPBEXexcGood1 7 2 2" xfId="5723"/>
    <cellStyle name="SAPBEXexcGood1 7 3" xfId="4246"/>
    <cellStyle name="SAPBEXexcGood1 8" xfId="1534"/>
    <cellStyle name="SAPBEXexcGood1 8 2" xfId="3219"/>
    <cellStyle name="SAPBEXexcGood1 8 2 2" xfId="6192"/>
    <cellStyle name="SAPBEXexcGood1 8 3" xfId="4680"/>
    <cellStyle name="SAPBEXexcGood1 9" xfId="2745"/>
    <cellStyle name="SAPBEXexcGood1 9 2" xfId="5735"/>
    <cellStyle name="SAPBEXexcGood2" xfId="240"/>
    <cellStyle name="SAPBEXexcGood2 2" xfId="941"/>
    <cellStyle name="SAPBEXexcGood2 2 2" xfId="1691"/>
    <cellStyle name="SAPBEXexcGood2 2 2 2" xfId="3367"/>
    <cellStyle name="SAPBEXexcGood2 2 2 2 2" xfId="6337"/>
    <cellStyle name="SAPBEXexcGood2 2 2 3" xfId="4805"/>
    <cellStyle name="SAPBEXexcGood2 2 3" xfId="1918"/>
    <cellStyle name="SAPBEXexcGood2 2 3 2" xfId="3572"/>
    <cellStyle name="SAPBEXexcGood2 2 3 2 2" xfId="6538"/>
    <cellStyle name="SAPBEXexcGood2 2 3 3" xfId="4972"/>
    <cellStyle name="SAPBEXexcGood2 2 4" xfId="2136"/>
    <cellStyle name="SAPBEXexcGood2 2 4 2" xfId="3774"/>
    <cellStyle name="SAPBEXexcGood2 2 4 2 2" xfId="6735"/>
    <cellStyle name="SAPBEXexcGood2 2 4 3" xfId="5180"/>
    <cellStyle name="SAPBEXexcGood2 2 5" xfId="2349"/>
    <cellStyle name="SAPBEXexcGood2 2 5 2" xfId="3974"/>
    <cellStyle name="SAPBEXexcGood2 2 5 2 2" xfId="6930"/>
    <cellStyle name="SAPBEXexcGood2 2 5 3" xfId="5382"/>
    <cellStyle name="SAPBEXexcGood2 2 6" xfId="2554"/>
    <cellStyle name="SAPBEXexcGood2 2 6 2" xfId="4163"/>
    <cellStyle name="SAPBEXexcGood2 2 6 2 2" xfId="7118"/>
    <cellStyle name="SAPBEXexcGood2 2 6 3" xfId="5581"/>
    <cellStyle name="SAPBEXexcGood2 2 7" xfId="2850"/>
    <cellStyle name="SAPBEXexcGood2 2 7 2" xfId="5837"/>
    <cellStyle name="SAPBEXexcGood2 2 8" xfId="4374"/>
    <cellStyle name="SAPBEXexcGood2 3" xfId="1054"/>
    <cellStyle name="SAPBEXexcGood2 3 2" xfId="1615"/>
    <cellStyle name="SAPBEXexcGood2 3 2 2" xfId="3296"/>
    <cellStyle name="SAPBEXexcGood2 3 2 2 2" xfId="6267"/>
    <cellStyle name="SAPBEXexcGood2 3 2 3" xfId="4735"/>
    <cellStyle name="SAPBEXexcGood2 3 3" xfId="1794"/>
    <cellStyle name="SAPBEXexcGood2 3 3 2" xfId="3465"/>
    <cellStyle name="SAPBEXexcGood2 3 3 2 2" xfId="6434"/>
    <cellStyle name="SAPBEXexcGood2 3 4" xfId="2017"/>
    <cellStyle name="SAPBEXexcGood2 3 4 2" xfId="3669"/>
    <cellStyle name="SAPBEXexcGood2 3 4 2 2" xfId="6633"/>
    <cellStyle name="SAPBEXexcGood2 3 4 3" xfId="5069"/>
    <cellStyle name="SAPBEXexcGood2 3 5" xfId="2233"/>
    <cellStyle name="SAPBEXexcGood2 3 5 2" xfId="3871"/>
    <cellStyle name="SAPBEXexcGood2 3 5 2 2" xfId="6829"/>
    <cellStyle name="SAPBEXexcGood2 3 5 3" xfId="5274"/>
    <cellStyle name="SAPBEXexcGood2 3 6" xfId="2445"/>
    <cellStyle name="SAPBEXexcGood2 3 6 2" xfId="4070"/>
    <cellStyle name="SAPBEXexcGood2 3 6 2 2" xfId="7025"/>
    <cellStyle name="SAPBEXexcGood2 3 6 3" xfId="5477"/>
    <cellStyle name="SAPBEXexcGood2 3 7" xfId="2649"/>
    <cellStyle name="SAPBEXexcGood2 3 7 2" xfId="5675"/>
    <cellStyle name="SAPBEXexcGood2 3 8" xfId="2946"/>
    <cellStyle name="SAPBEXexcGood2 3 8 2" xfId="5931"/>
    <cellStyle name="SAPBEXexcGood2 4" xfId="1156"/>
    <cellStyle name="SAPBEXexcGood2 4 2" xfId="3022"/>
    <cellStyle name="SAPBEXexcGood2 4 2 2" xfId="6003"/>
    <cellStyle name="SAPBEXexcGood2 4 3" xfId="4447"/>
    <cellStyle name="SAPBEXexcGood2 5" xfId="1260"/>
    <cellStyle name="SAPBEXexcGood2 5 2" xfId="3076"/>
    <cellStyle name="SAPBEXexcGood2 5 2 2" xfId="6055"/>
    <cellStyle name="SAPBEXexcGood2 5 3" xfId="4522"/>
    <cellStyle name="SAPBEXexcGood2 6" xfId="1397"/>
    <cellStyle name="SAPBEXexcGood2 6 2" xfId="3126"/>
    <cellStyle name="SAPBEXexcGood2 6 2 2" xfId="6101"/>
    <cellStyle name="SAPBEXexcGood2 6 3" xfId="4585"/>
    <cellStyle name="SAPBEXexcGood2 7" xfId="1129"/>
    <cellStyle name="SAPBEXexcGood2 7 2" xfId="3004"/>
    <cellStyle name="SAPBEXexcGood2 7 2 2" xfId="5987"/>
    <cellStyle name="SAPBEXexcGood2 7 3" xfId="4430"/>
    <cellStyle name="SAPBEXexcGood2 8" xfId="1732"/>
    <cellStyle name="SAPBEXexcGood2 8 2" xfId="3403"/>
    <cellStyle name="SAPBEXexcGood2 8 2 2" xfId="6373"/>
    <cellStyle name="SAPBEXexcGood2 8 3" xfId="4819"/>
    <cellStyle name="SAPBEXexcGood2 9" xfId="2746"/>
    <cellStyle name="SAPBEXexcGood2 9 2" xfId="5736"/>
    <cellStyle name="SAPBEXexcGood3" xfId="241"/>
    <cellStyle name="SAPBEXexcGood3 2" xfId="933"/>
    <cellStyle name="SAPBEXexcGood3 2 2" xfId="1683"/>
    <cellStyle name="SAPBEXexcGood3 2 2 2" xfId="3359"/>
    <cellStyle name="SAPBEXexcGood3 2 2 2 2" xfId="6329"/>
    <cellStyle name="SAPBEXexcGood3 2 2 3" xfId="4799"/>
    <cellStyle name="SAPBEXexcGood3 2 3" xfId="1910"/>
    <cellStyle name="SAPBEXexcGood3 2 3 2" xfId="3564"/>
    <cellStyle name="SAPBEXexcGood3 2 3 2 2" xfId="6530"/>
    <cellStyle name="SAPBEXexcGood3 2 3 3" xfId="4964"/>
    <cellStyle name="SAPBEXexcGood3 2 4" xfId="2128"/>
    <cellStyle name="SAPBEXexcGood3 2 4 2" xfId="3766"/>
    <cellStyle name="SAPBEXexcGood3 2 4 2 2" xfId="6727"/>
    <cellStyle name="SAPBEXexcGood3 2 4 3" xfId="5172"/>
    <cellStyle name="SAPBEXexcGood3 2 5" xfId="2341"/>
    <cellStyle name="SAPBEXexcGood3 2 5 2" xfId="3966"/>
    <cellStyle name="SAPBEXexcGood3 2 5 2 2" xfId="6922"/>
    <cellStyle name="SAPBEXexcGood3 2 5 3" xfId="5374"/>
    <cellStyle name="SAPBEXexcGood3 2 6" xfId="2546"/>
    <cellStyle name="SAPBEXexcGood3 2 6 2" xfId="4159"/>
    <cellStyle name="SAPBEXexcGood3 2 6 2 2" xfId="7114"/>
    <cellStyle name="SAPBEXexcGood3 2 6 3" xfId="5573"/>
    <cellStyle name="SAPBEXexcGood3 2 7" xfId="2842"/>
    <cellStyle name="SAPBEXexcGood3 2 7 2" xfId="5829"/>
    <cellStyle name="SAPBEXexcGood3 2 8" xfId="4370"/>
    <cellStyle name="SAPBEXexcGood3 3" xfId="1052"/>
    <cellStyle name="SAPBEXexcGood3 3 2" xfId="1613"/>
    <cellStyle name="SAPBEXexcGood3 3 2 2" xfId="3295"/>
    <cellStyle name="SAPBEXexcGood3 3 2 2 2" xfId="6266"/>
    <cellStyle name="SAPBEXexcGood3 3 2 3" xfId="4734"/>
    <cellStyle name="SAPBEXexcGood3 3 3" xfId="1792"/>
    <cellStyle name="SAPBEXexcGood3 3 3 2" xfId="3463"/>
    <cellStyle name="SAPBEXexcGood3 3 3 2 2" xfId="6432"/>
    <cellStyle name="SAPBEXexcGood3 3 4" xfId="2015"/>
    <cellStyle name="SAPBEXexcGood3 3 4 2" xfId="3667"/>
    <cellStyle name="SAPBEXexcGood3 3 4 2 2" xfId="6631"/>
    <cellStyle name="SAPBEXexcGood3 3 4 3" xfId="5067"/>
    <cellStyle name="SAPBEXexcGood3 3 5" xfId="2231"/>
    <cellStyle name="SAPBEXexcGood3 3 5 2" xfId="3869"/>
    <cellStyle name="SAPBEXexcGood3 3 5 2 2" xfId="6827"/>
    <cellStyle name="SAPBEXexcGood3 3 5 3" xfId="5272"/>
    <cellStyle name="SAPBEXexcGood3 3 6" xfId="2443"/>
    <cellStyle name="SAPBEXexcGood3 3 6 2" xfId="4068"/>
    <cellStyle name="SAPBEXexcGood3 3 6 2 2" xfId="7023"/>
    <cellStyle name="SAPBEXexcGood3 3 6 3" xfId="5475"/>
    <cellStyle name="SAPBEXexcGood3 3 7" xfId="2647"/>
    <cellStyle name="SAPBEXexcGood3 3 7 2" xfId="5673"/>
    <cellStyle name="SAPBEXexcGood3 3 8" xfId="2944"/>
    <cellStyle name="SAPBEXexcGood3 3 8 2" xfId="5929"/>
    <cellStyle name="SAPBEXexcGood3 4" xfId="1155"/>
    <cellStyle name="SAPBEXexcGood3 4 2" xfId="3021"/>
    <cellStyle name="SAPBEXexcGood3 4 2 2" xfId="6002"/>
    <cellStyle name="SAPBEXexcGood3 4 3" xfId="4446"/>
    <cellStyle name="SAPBEXexcGood3 5" xfId="1173"/>
    <cellStyle name="SAPBEXexcGood3 5 2" xfId="3035"/>
    <cellStyle name="SAPBEXexcGood3 5 2 2" xfId="6016"/>
    <cellStyle name="SAPBEXexcGood3 5 3" xfId="4463"/>
    <cellStyle name="SAPBEXexcGood3 6" xfId="1235"/>
    <cellStyle name="SAPBEXexcGood3 6 2" xfId="3063"/>
    <cellStyle name="SAPBEXexcGood3 6 2 2" xfId="6043"/>
    <cellStyle name="SAPBEXexcGood3 6 3" xfId="4502"/>
    <cellStyle name="SAPBEXexcGood3 7" xfId="1210"/>
    <cellStyle name="SAPBEXexcGood3 7 2" xfId="3051"/>
    <cellStyle name="SAPBEXexcGood3 7 2 2" xfId="6031"/>
    <cellStyle name="SAPBEXexcGood3 7 3" xfId="4485"/>
    <cellStyle name="SAPBEXexcGood3 8" xfId="1408"/>
    <cellStyle name="SAPBEXexcGood3 8 2" xfId="3131"/>
    <cellStyle name="SAPBEXexcGood3 8 2 2" xfId="6106"/>
    <cellStyle name="SAPBEXexcGood3 8 3" xfId="4593"/>
    <cellStyle name="SAPBEXexcGood3 9" xfId="2747"/>
    <cellStyle name="SAPBEXexcGood3 9 2" xfId="5737"/>
    <cellStyle name="SAPBEXfilterDrill" xfId="242"/>
    <cellStyle name="SAPBEXfilterDrill 2" xfId="924"/>
    <cellStyle name="SAPBEXfilterDrill 2 2" xfId="1674"/>
    <cellStyle name="SAPBEXfilterDrill 2 2 2" xfId="3350"/>
    <cellStyle name="SAPBEXfilterDrill 2 2 2 2" xfId="6320"/>
    <cellStyle name="SAPBEXfilterDrill 2 2 3" xfId="4790"/>
    <cellStyle name="SAPBEXfilterDrill 2 3" xfId="1901"/>
    <cellStyle name="SAPBEXfilterDrill 2 3 2" xfId="3555"/>
    <cellStyle name="SAPBEXfilterDrill 2 3 2 2" xfId="6521"/>
    <cellStyle name="SAPBEXfilterDrill 2 3 3" xfId="4955"/>
    <cellStyle name="SAPBEXfilterDrill 2 4" xfId="2119"/>
    <cellStyle name="SAPBEXfilterDrill 2 4 2" xfId="3757"/>
    <cellStyle name="SAPBEXfilterDrill 2 4 2 2" xfId="6718"/>
    <cellStyle name="SAPBEXfilterDrill 2 4 3" xfId="5163"/>
    <cellStyle name="SAPBEXfilterDrill 2 5" xfId="2332"/>
    <cellStyle name="SAPBEXfilterDrill 2 5 2" xfId="3957"/>
    <cellStyle name="SAPBEXfilterDrill 2 5 2 2" xfId="6913"/>
    <cellStyle name="SAPBEXfilterDrill 2 5 3" xfId="5365"/>
    <cellStyle name="SAPBEXfilterDrill 2 6" xfId="2537"/>
    <cellStyle name="SAPBEXfilterDrill 2 6 2" xfId="4150"/>
    <cellStyle name="SAPBEXfilterDrill 2 6 2 2" xfId="7105"/>
    <cellStyle name="SAPBEXfilterDrill 2 6 3" xfId="5564"/>
    <cellStyle name="SAPBEXfilterDrill 2 7" xfId="2833"/>
    <cellStyle name="SAPBEXfilterDrill 2 7 2" xfId="5820"/>
    <cellStyle name="SAPBEXfilterDrill 2 8" xfId="4361"/>
    <cellStyle name="SAPBEXfilterDrill 3" xfId="1056"/>
    <cellStyle name="SAPBEXfilterDrill 3 2" xfId="1617"/>
    <cellStyle name="SAPBEXfilterDrill 3 2 2" xfId="3298"/>
    <cellStyle name="SAPBEXfilterDrill 3 2 2 2" xfId="6269"/>
    <cellStyle name="SAPBEXfilterDrill 3 2 3" xfId="4737"/>
    <cellStyle name="SAPBEXfilterDrill 3 3" xfId="1796"/>
    <cellStyle name="SAPBEXfilterDrill 3 3 2" xfId="3467"/>
    <cellStyle name="SAPBEXfilterDrill 3 3 2 2" xfId="6436"/>
    <cellStyle name="SAPBEXfilterDrill 3 4" xfId="2019"/>
    <cellStyle name="SAPBEXfilterDrill 3 4 2" xfId="3671"/>
    <cellStyle name="SAPBEXfilterDrill 3 4 2 2" xfId="6635"/>
    <cellStyle name="SAPBEXfilterDrill 3 4 3" xfId="5071"/>
    <cellStyle name="SAPBEXfilterDrill 3 5" xfId="2235"/>
    <cellStyle name="SAPBEXfilterDrill 3 5 2" xfId="3873"/>
    <cellStyle name="SAPBEXfilterDrill 3 5 2 2" xfId="6831"/>
    <cellStyle name="SAPBEXfilterDrill 3 5 3" xfId="5276"/>
    <cellStyle name="SAPBEXfilterDrill 3 6" xfId="2447"/>
    <cellStyle name="SAPBEXfilterDrill 3 6 2" xfId="4072"/>
    <cellStyle name="SAPBEXfilterDrill 3 6 2 2" xfId="7027"/>
    <cellStyle name="SAPBEXfilterDrill 3 6 3" xfId="5479"/>
    <cellStyle name="SAPBEXfilterDrill 3 7" xfId="2651"/>
    <cellStyle name="SAPBEXfilterDrill 3 7 2" xfId="5677"/>
    <cellStyle name="SAPBEXfilterDrill 3 8" xfId="2948"/>
    <cellStyle name="SAPBEXfilterDrill 3 8 2" xfId="5933"/>
    <cellStyle name="SAPBEXfilterDrill 4" xfId="1154"/>
    <cellStyle name="SAPBEXfilterDrill 4 2" xfId="3020"/>
    <cellStyle name="SAPBEXfilterDrill 4 2 2" xfId="6001"/>
    <cellStyle name="SAPBEXfilterDrill 4 3" xfId="4445"/>
    <cellStyle name="SAPBEXfilterDrill 5" xfId="1261"/>
    <cellStyle name="SAPBEXfilterDrill 5 2" xfId="3077"/>
    <cellStyle name="SAPBEXfilterDrill 5 2 2" xfId="6056"/>
    <cellStyle name="SAPBEXfilterDrill 5 3" xfId="4523"/>
    <cellStyle name="SAPBEXfilterDrill 6" xfId="1396"/>
    <cellStyle name="SAPBEXfilterDrill 6 2" xfId="3125"/>
    <cellStyle name="SAPBEXfilterDrill 6 2 2" xfId="6100"/>
    <cellStyle name="SAPBEXfilterDrill 6 3" xfId="4584"/>
    <cellStyle name="SAPBEXfilterDrill 7" xfId="1130"/>
    <cellStyle name="SAPBEXfilterDrill 7 2" xfId="3005"/>
    <cellStyle name="SAPBEXfilterDrill 7 2 2" xfId="5988"/>
    <cellStyle name="SAPBEXfilterDrill 7 3" xfId="4431"/>
    <cellStyle name="SAPBEXfilterDrill 8" xfId="1371"/>
    <cellStyle name="SAPBEXfilterDrill 8 2" xfId="3111"/>
    <cellStyle name="SAPBEXfilterDrill 8 2 2" xfId="6087"/>
    <cellStyle name="SAPBEXfilterDrill 8 3" xfId="4571"/>
    <cellStyle name="SAPBEXfilterDrill 9" xfId="2748"/>
    <cellStyle name="SAPBEXfilterDrill 9 2" xfId="5738"/>
    <cellStyle name="SAPBEXfilterItem" xfId="243"/>
    <cellStyle name="SAPBEXfilterItem 2" xfId="923"/>
    <cellStyle name="SAPBEXfilterItem 2 2" xfId="1510"/>
    <cellStyle name="SAPBEXfilterItem 2 2 2" xfId="3199"/>
    <cellStyle name="SAPBEXfilterItem 2 3" xfId="1673"/>
    <cellStyle name="SAPBEXfilterItem 2 3 2" xfId="3349"/>
    <cellStyle name="SAPBEXfilterItem 2 4" xfId="1900"/>
    <cellStyle name="SAPBEXfilterItem 2 4 2" xfId="3554"/>
    <cellStyle name="SAPBEXfilterItem 2 5" xfId="2118"/>
    <cellStyle name="SAPBEXfilterItem 2 5 2" xfId="3756"/>
    <cellStyle name="SAPBEXfilterItem 2 6" xfId="2331"/>
    <cellStyle name="SAPBEXfilterItem 2 6 2" xfId="3956"/>
    <cellStyle name="SAPBEXfilterItem 2 7" xfId="2536"/>
    <cellStyle name="SAPBEXfilterItem 2 8" xfId="2832"/>
    <cellStyle name="SAPBEXfilterItem 3" xfId="1043"/>
    <cellStyle name="SAPBEXfilterItem 3 2" xfId="1605"/>
    <cellStyle name="SAPBEXfilterItem 3 2 2" xfId="3287"/>
    <cellStyle name="SAPBEXfilterItem 3 3" xfId="1783"/>
    <cellStyle name="SAPBEXfilterItem 3 3 2" xfId="3454"/>
    <cellStyle name="SAPBEXfilterItem 3 4" xfId="2006"/>
    <cellStyle name="SAPBEXfilterItem 3 4 2" xfId="3658"/>
    <cellStyle name="SAPBEXfilterItem 3 5" xfId="2222"/>
    <cellStyle name="SAPBEXfilterItem 3 5 2" xfId="3860"/>
    <cellStyle name="SAPBEXfilterItem 3 6" xfId="2434"/>
    <cellStyle name="SAPBEXfilterItem 3 6 2" xfId="4059"/>
    <cellStyle name="SAPBEXfilterItem 3 7" xfId="2638"/>
    <cellStyle name="SAPBEXfilterItem 3 8" xfId="2935"/>
    <cellStyle name="SAPBEXfilterItem 4" xfId="1153"/>
    <cellStyle name="SAPBEXfilterItem 4 2" xfId="3019"/>
    <cellStyle name="SAPBEXfilterItem 5" xfId="1262"/>
    <cellStyle name="SAPBEXfilterItem 5 2" xfId="3078"/>
    <cellStyle name="SAPBEXfilterItem 6" xfId="1395"/>
    <cellStyle name="SAPBEXfilterItem 6 2" xfId="3124"/>
    <cellStyle name="SAPBEXfilterItem 7" xfId="1285"/>
    <cellStyle name="SAPBEXfilterItem 7 2" xfId="3088"/>
    <cellStyle name="SAPBEXfilterItem 8" xfId="1370"/>
    <cellStyle name="SAPBEXfilterItem 8 2" xfId="3110"/>
    <cellStyle name="SAPBEXfilterItem 9" xfId="2749"/>
    <cellStyle name="SAPBEXfilterText" xfId="244"/>
    <cellStyle name="SAPBEXformats" xfId="245"/>
    <cellStyle name="SAPBEXformats 10" xfId="1369"/>
    <cellStyle name="SAPBEXformats 10 2" xfId="3109"/>
    <cellStyle name="SAPBEXformats 10 2 2" xfId="6086"/>
    <cellStyle name="SAPBEXformats 10 3" xfId="4570"/>
    <cellStyle name="SAPBEXformats 11" xfId="2750"/>
    <cellStyle name="SAPBEXformats 11 2" xfId="5739"/>
    <cellStyle name="SAPBEXformats 2" xfId="846"/>
    <cellStyle name="SAPBEXformats 2 10" xfId="2487"/>
    <cellStyle name="SAPBEXformats 2 10 2" xfId="4110"/>
    <cellStyle name="SAPBEXformats 2 10 2 2" xfId="7065"/>
    <cellStyle name="SAPBEXformats 2 10 3" xfId="5517"/>
    <cellStyle name="SAPBEXformats 2 11" xfId="2790"/>
    <cellStyle name="SAPBEXformats 2 11 2" xfId="5778"/>
    <cellStyle name="SAPBEXformats 2 2" xfId="1012"/>
    <cellStyle name="SAPBEXformats 2 2 2" xfId="1578"/>
    <cellStyle name="SAPBEXformats 2 2 2 2" xfId="3261"/>
    <cellStyle name="SAPBEXformats 2 2 2 2 2" xfId="6233"/>
    <cellStyle name="SAPBEXformats 2 2 3" xfId="1752"/>
    <cellStyle name="SAPBEXformats 2 2 3 2" xfId="3423"/>
    <cellStyle name="SAPBEXformats 2 2 3 2 2" xfId="6393"/>
    <cellStyle name="SAPBEXformats 2 2 3 3" xfId="4829"/>
    <cellStyle name="SAPBEXformats 2 2 4" xfId="1975"/>
    <cellStyle name="SAPBEXformats 2 2 4 2" xfId="3627"/>
    <cellStyle name="SAPBEXformats 2 2 4 2 2" xfId="6593"/>
    <cellStyle name="SAPBEXformats 2 2 4 3" xfId="5029"/>
    <cellStyle name="SAPBEXformats 2 2 5" xfId="2191"/>
    <cellStyle name="SAPBEXformats 2 2 5 2" xfId="3829"/>
    <cellStyle name="SAPBEXformats 2 2 5 2 2" xfId="6789"/>
    <cellStyle name="SAPBEXformats 2 2 5 3" xfId="5234"/>
    <cellStyle name="SAPBEXformats 2 2 6" xfId="2403"/>
    <cellStyle name="SAPBEXformats 2 2 6 2" xfId="4028"/>
    <cellStyle name="SAPBEXformats 2 2 6 2 2" xfId="6984"/>
    <cellStyle name="SAPBEXformats 2 2 6 3" xfId="5436"/>
    <cellStyle name="SAPBEXformats 2 2 7" xfId="2607"/>
    <cellStyle name="SAPBEXformats 2 2 7 2" xfId="4173"/>
    <cellStyle name="SAPBEXformats 2 2 7 2 2" xfId="7128"/>
    <cellStyle name="SAPBEXformats 2 2 7 3" xfId="5634"/>
    <cellStyle name="SAPBEXformats 2 2 8" xfId="2904"/>
    <cellStyle name="SAPBEXformats 2 2 8 2" xfId="5890"/>
    <cellStyle name="SAPBEXformats 2 3" xfId="961"/>
    <cellStyle name="SAPBEXformats 2 3 2" xfId="1536"/>
    <cellStyle name="SAPBEXformats 2 3 2 2" xfId="3220"/>
    <cellStyle name="SAPBEXformats 2 3 2 2 2" xfId="6193"/>
    <cellStyle name="SAPBEXformats 2 3 2 3" xfId="4681"/>
    <cellStyle name="SAPBEXformats 2 3 3" xfId="1708"/>
    <cellStyle name="SAPBEXformats 2 3 3 2" xfId="3381"/>
    <cellStyle name="SAPBEXformats 2 3 3 2 2" xfId="6351"/>
    <cellStyle name="SAPBEXformats 2 3 3 3" xfId="4811"/>
    <cellStyle name="SAPBEXformats 2 3 4" xfId="1932"/>
    <cellStyle name="SAPBEXformats 2 3 4 2" xfId="3586"/>
    <cellStyle name="SAPBEXformats 2 3 4 2 2" xfId="6552"/>
    <cellStyle name="SAPBEXformats 2 3 4 3" xfId="4986"/>
    <cellStyle name="SAPBEXformats 2 3 5" xfId="2149"/>
    <cellStyle name="SAPBEXformats 2 3 5 2" xfId="3787"/>
    <cellStyle name="SAPBEXformats 2 3 5 2 2" xfId="6748"/>
    <cellStyle name="SAPBEXformats 2 3 5 3" xfId="5193"/>
    <cellStyle name="SAPBEXformats 2 3 6" xfId="2362"/>
    <cellStyle name="SAPBEXformats 2 3 6 2" xfId="3987"/>
    <cellStyle name="SAPBEXformats 2 3 6 2 2" xfId="6943"/>
    <cellStyle name="SAPBEXformats 2 3 6 3" xfId="5395"/>
    <cellStyle name="SAPBEXformats 2 3 7" xfId="2567"/>
    <cellStyle name="SAPBEXformats 2 3 7 2" xfId="5594"/>
    <cellStyle name="SAPBEXformats 2 3 8" xfId="2863"/>
    <cellStyle name="SAPBEXformats 2 3 8 2" xfId="5850"/>
    <cellStyle name="SAPBEXformats 2 4" xfId="1064"/>
    <cellStyle name="SAPBEXformats 2 4 2" xfId="1625"/>
    <cellStyle name="SAPBEXformats 2 4 2 2" xfId="3306"/>
    <cellStyle name="SAPBEXformats 2 4 2 2 2" xfId="6277"/>
    <cellStyle name="SAPBEXformats 2 4 2 3" xfId="4745"/>
    <cellStyle name="SAPBEXformats 2 4 3" xfId="1804"/>
    <cellStyle name="SAPBEXformats 2 4 3 2" xfId="3475"/>
    <cellStyle name="SAPBEXformats 2 4 3 2 2" xfId="6444"/>
    <cellStyle name="SAPBEXformats 2 4 3 3" xfId="4870"/>
    <cellStyle name="SAPBEXformats 2 4 4" xfId="2027"/>
    <cellStyle name="SAPBEXformats 2 4 4 2" xfId="3679"/>
    <cellStyle name="SAPBEXformats 2 4 4 2 2" xfId="6643"/>
    <cellStyle name="SAPBEXformats 2 4 4 3" xfId="5079"/>
    <cellStyle name="SAPBEXformats 2 4 5" xfId="2243"/>
    <cellStyle name="SAPBEXformats 2 4 5 2" xfId="3881"/>
    <cellStyle name="SAPBEXformats 2 4 5 2 2" xfId="6839"/>
    <cellStyle name="SAPBEXformats 2 4 5 3" xfId="5284"/>
    <cellStyle name="SAPBEXformats 2 4 6" xfId="2455"/>
    <cellStyle name="SAPBEXformats 2 4 6 2" xfId="4080"/>
    <cellStyle name="SAPBEXformats 2 4 6 2 2" xfId="7035"/>
    <cellStyle name="SAPBEXformats 2 4 6 3" xfId="5487"/>
    <cellStyle name="SAPBEXformats 2 4 7" xfId="2659"/>
    <cellStyle name="SAPBEXformats 2 4 7 2" xfId="5685"/>
    <cellStyle name="SAPBEXformats 2 4 8" xfId="2956"/>
    <cellStyle name="SAPBEXformats 2 4 8 2" xfId="5941"/>
    <cellStyle name="SAPBEXformats 2 5" xfId="1461"/>
    <cellStyle name="SAPBEXformats 2 5 2" xfId="3169"/>
    <cellStyle name="SAPBEXformats 2 5 2 2" xfId="6143"/>
    <cellStyle name="SAPBEXformats 2 6" xfId="1221"/>
    <cellStyle name="SAPBEXformats 2 6 2" xfId="3053"/>
    <cellStyle name="SAPBEXformats 2 6 2 2" xfId="6033"/>
    <cellStyle name="SAPBEXformats 2 6 3" xfId="4492"/>
    <cellStyle name="SAPBEXformats 2 7" xfId="1845"/>
    <cellStyle name="SAPBEXformats 2 7 2" xfId="3509"/>
    <cellStyle name="SAPBEXformats 2 7 2 2" xfId="6477"/>
    <cellStyle name="SAPBEXformats 2 7 3" xfId="4903"/>
    <cellStyle name="SAPBEXformats 2 8" xfId="2062"/>
    <cellStyle name="SAPBEXformats 2 8 2" xfId="3710"/>
    <cellStyle name="SAPBEXformats 2 8 2 2" xfId="6673"/>
    <cellStyle name="SAPBEXformats 2 8 3" xfId="5110"/>
    <cellStyle name="SAPBEXformats 2 9" xfId="2278"/>
    <cellStyle name="SAPBEXformats 2 9 2" xfId="3912"/>
    <cellStyle name="SAPBEXformats 2 9 2 2" xfId="6869"/>
    <cellStyle name="SAPBEXformats 2 9 3" xfId="5315"/>
    <cellStyle name="SAPBEXformats 3" xfId="872"/>
    <cellStyle name="SAPBEXformats 3 10" xfId="2504"/>
    <cellStyle name="SAPBEXformats 3 10 2" xfId="4125"/>
    <cellStyle name="SAPBEXformats 3 10 2 2" xfId="7080"/>
    <cellStyle name="SAPBEXformats 3 10 3" xfId="5534"/>
    <cellStyle name="SAPBEXformats 3 11" xfId="2805"/>
    <cellStyle name="SAPBEXformats 3 11 2" xfId="5793"/>
    <cellStyle name="SAPBEXformats 3 2" xfId="1028"/>
    <cellStyle name="SAPBEXformats 3 2 2" xfId="1592"/>
    <cellStyle name="SAPBEXformats 3 2 2 2" xfId="3275"/>
    <cellStyle name="SAPBEXformats 3 2 2 2 2" xfId="6247"/>
    <cellStyle name="SAPBEXformats 3 2 3" xfId="1768"/>
    <cellStyle name="SAPBEXformats 3 2 3 2" xfId="3439"/>
    <cellStyle name="SAPBEXformats 3 2 3 2 2" xfId="6409"/>
    <cellStyle name="SAPBEXformats 3 2 3 3" xfId="4845"/>
    <cellStyle name="SAPBEXformats 3 2 4" xfId="1991"/>
    <cellStyle name="SAPBEXformats 3 2 4 2" xfId="3643"/>
    <cellStyle name="SAPBEXformats 3 2 4 2 2" xfId="6609"/>
    <cellStyle name="SAPBEXformats 3 2 4 3" xfId="5045"/>
    <cellStyle name="SAPBEXformats 3 2 5" xfId="2207"/>
    <cellStyle name="SAPBEXformats 3 2 5 2" xfId="3845"/>
    <cellStyle name="SAPBEXformats 3 2 5 2 2" xfId="6805"/>
    <cellStyle name="SAPBEXformats 3 2 5 3" xfId="5250"/>
    <cellStyle name="SAPBEXformats 3 2 6" xfId="2419"/>
    <cellStyle name="SAPBEXformats 3 2 6 2" xfId="4044"/>
    <cellStyle name="SAPBEXformats 3 2 6 2 2" xfId="7000"/>
    <cellStyle name="SAPBEXformats 3 2 6 3" xfId="5452"/>
    <cellStyle name="SAPBEXformats 3 2 7" xfId="2623"/>
    <cellStyle name="SAPBEXformats 3 2 7 2" xfId="4189"/>
    <cellStyle name="SAPBEXformats 3 2 7 2 2" xfId="7144"/>
    <cellStyle name="SAPBEXformats 3 2 7 3" xfId="5650"/>
    <cellStyle name="SAPBEXformats 3 2 8" xfId="2920"/>
    <cellStyle name="SAPBEXformats 3 2 8 2" xfId="5906"/>
    <cellStyle name="SAPBEXformats 3 3" xfId="1048"/>
    <cellStyle name="SAPBEXformats 3 3 2" xfId="1610"/>
    <cellStyle name="SAPBEXformats 3 3 2 2" xfId="3292"/>
    <cellStyle name="SAPBEXformats 3 3 2 2 2" xfId="6263"/>
    <cellStyle name="SAPBEXformats 3 3 2 3" xfId="4731"/>
    <cellStyle name="SAPBEXformats 3 3 3" xfId="1788"/>
    <cellStyle name="SAPBEXformats 3 3 3 2" xfId="3459"/>
    <cellStyle name="SAPBEXformats 3 3 3 2 2" xfId="6428"/>
    <cellStyle name="SAPBEXformats 3 3 3 3" xfId="4863"/>
    <cellStyle name="SAPBEXformats 3 3 4" xfId="2011"/>
    <cellStyle name="SAPBEXformats 3 3 4 2" xfId="3663"/>
    <cellStyle name="SAPBEXformats 3 3 4 2 2" xfId="6627"/>
    <cellStyle name="SAPBEXformats 3 3 4 3" xfId="5063"/>
    <cellStyle name="SAPBEXformats 3 3 5" xfId="2227"/>
    <cellStyle name="SAPBEXformats 3 3 5 2" xfId="3865"/>
    <cellStyle name="SAPBEXformats 3 3 5 2 2" xfId="6823"/>
    <cellStyle name="SAPBEXformats 3 3 5 3" xfId="5268"/>
    <cellStyle name="SAPBEXformats 3 3 6" xfId="2439"/>
    <cellStyle name="SAPBEXformats 3 3 6 2" xfId="4064"/>
    <cellStyle name="SAPBEXformats 3 3 6 2 2" xfId="7019"/>
    <cellStyle name="SAPBEXformats 3 3 6 3" xfId="5471"/>
    <cellStyle name="SAPBEXformats 3 3 7" xfId="2643"/>
    <cellStyle name="SAPBEXformats 3 3 7 2" xfId="5669"/>
    <cellStyle name="SAPBEXformats 3 3 8" xfId="2940"/>
    <cellStyle name="SAPBEXformats 3 3 8 2" xfId="5925"/>
    <cellStyle name="SAPBEXformats 3 4" xfId="1079"/>
    <cellStyle name="SAPBEXformats 3 4 2" xfId="1640"/>
    <cellStyle name="SAPBEXformats 3 4 2 2" xfId="3321"/>
    <cellStyle name="SAPBEXformats 3 4 2 2 2" xfId="6292"/>
    <cellStyle name="SAPBEXformats 3 4 2 3" xfId="4760"/>
    <cellStyle name="SAPBEXformats 3 4 3" xfId="1819"/>
    <cellStyle name="SAPBEXformats 3 4 3 2" xfId="3490"/>
    <cellStyle name="SAPBEXformats 3 4 3 2 2" xfId="6459"/>
    <cellStyle name="SAPBEXformats 3 4 3 3" xfId="4884"/>
    <cellStyle name="SAPBEXformats 3 4 4" xfId="2042"/>
    <cellStyle name="SAPBEXformats 3 4 4 2" xfId="3694"/>
    <cellStyle name="SAPBEXformats 3 4 4 2 2" xfId="6658"/>
    <cellStyle name="SAPBEXformats 3 4 4 3" xfId="5094"/>
    <cellStyle name="SAPBEXformats 3 4 5" xfId="2258"/>
    <cellStyle name="SAPBEXformats 3 4 5 2" xfId="3896"/>
    <cellStyle name="SAPBEXformats 3 4 5 2 2" xfId="6854"/>
    <cellStyle name="SAPBEXformats 3 4 5 3" xfId="5299"/>
    <cellStyle name="SAPBEXformats 3 4 6" xfId="2470"/>
    <cellStyle name="SAPBEXformats 3 4 6 2" xfId="4095"/>
    <cellStyle name="SAPBEXformats 3 4 6 2 2" xfId="7050"/>
    <cellStyle name="SAPBEXformats 3 4 6 3" xfId="5502"/>
    <cellStyle name="SAPBEXformats 3 4 7" xfId="2674"/>
    <cellStyle name="SAPBEXformats 3 4 7 2" xfId="5700"/>
    <cellStyle name="SAPBEXformats 3 4 8" xfId="2971"/>
    <cellStyle name="SAPBEXformats 3 4 8 2" xfId="5956"/>
    <cellStyle name="SAPBEXformats 3 5" xfId="1485"/>
    <cellStyle name="SAPBEXformats 3 5 2" xfId="3188"/>
    <cellStyle name="SAPBEXformats 3 5 2 2" xfId="6162"/>
    <cellStyle name="SAPBEXformats 3 6" xfId="889"/>
    <cellStyle name="SAPBEXformats 3 6 2" xfId="2810"/>
    <cellStyle name="SAPBEXformats 3 6 2 2" xfId="5798"/>
    <cellStyle name="SAPBEXformats 3 6 3" xfId="4333"/>
    <cellStyle name="SAPBEXformats 3 7" xfId="1864"/>
    <cellStyle name="SAPBEXformats 3 7 2" xfId="3525"/>
    <cellStyle name="SAPBEXformats 3 7 2 2" xfId="6493"/>
    <cellStyle name="SAPBEXformats 3 7 3" xfId="4921"/>
    <cellStyle name="SAPBEXformats 3 8" xfId="2081"/>
    <cellStyle name="SAPBEXformats 3 8 2" xfId="3726"/>
    <cellStyle name="SAPBEXformats 3 8 2 2" xfId="6689"/>
    <cellStyle name="SAPBEXformats 3 8 3" xfId="5128"/>
    <cellStyle name="SAPBEXformats 3 9" xfId="2297"/>
    <cellStyle name="SAPBEXformats 3 9 2" xfId="3928"/>
    <cellStyle name="SAPBEXformats 3 9 2 2" xfId="6885"/>
    <cellStyle name="SAPBEXformats 3 9 3" xfId="5333"/>
    <cellStyle name="SAPBEXformats 4" xfId="922"/>
    <cellStyle name="SAPBEXformats 4 2" xfId="1672"/>
    <cellStyle name="SAPBEXformats 4 2 2" xfId="3348"/>
    <cellStyle name="SAPBEXformats 4 2 2 2" xfId="6319"/>
    <cellStyle name="SAPBEXformats 4 2 3" xfId="4789"/>
    <cellStyle name="SAPBEXformats 4 3" xfId="1899"/>
    <cellStyle name="SAPBEXformats 4 3 2" xfId="3553"/>
    <cellStyle name="SAPBEXformats 4 3 2 2" xfId="6520"/>
    <cellStyle name="SAPBEXformats 4 3 3" xfId="4954"/>
    <cellStyle name="SAPBEXformats 4 4" xfId="2117"/>
    <cellStyle name="SAPBEXformats 4 4 2" xfId="3755"/>
    <cellStyle name="SAPBEXformats 4 4 2 2" xfId="6717"/>
    <cellStyle name="SAPBEXformats 4 4 3" xfId="5162"/>
    <cellStyle name="SAPBEXformats 4 5" xfId="2330"/>
    <cellStyle name="SAPBEXformats 4 5 2" xfId="3955"/>
    <cellStyle name="SAPBEXformats 4 5 2 2" xfId="6912"/>
    <cellStyle name="SAPBEXformats 4 5 3" xfId="5364"/>
    <cellStyle name="SAPBEXformats 4 6" xfId="2535"/>
    <cellStyle name="SAPBEXformats 4 6 2" xfId="4149"/>
    <cellStyle name="SAPBEXformats 4 6 2 2" xfId="7104"/>
    <cellStyle name="SAPBEXformats 4 6 3" xfId="5563"/>
    <cellStyle name="SAPBEXformats 4 7" xfId="2831"/>
    <cellStyle name="SAPBEXformats 4 7 2" xfId="5819"/>
    <cellStyle name="SAPBEXformats 4 8" xfId="4360"/>
    <cellStyle name="SAPBEXformats 5" xfId="947"/>
    <cellStyle name="SAPBEXformats 5 2" xfId="1526"/>
    <cellStyle name="SAPBEXformats 5 2 2" xfId="3211"/>
    <cellStyle name="SAPBEXformats 5 2 2 2" xfId="6184"/>
    <cellStyle name="SAPBEXformats 5 2 3" xfId="4672"/>
    <cellStyle name="SAPBEXformats 5 3" xfId="1697"/>
    <cellStyle name="SAPBEXformats 5 3 2" xfId="3373"/>
    <cellStyle name="SAPBEXformats 5 3 2 2" xfId="6343"/>
    <cellStyle name="SAPBEXformats 5 4" xfId="1924"/>
    <cellStyle name="SAPBEXformats 5 4 2" xfId="3578"/>
    <cellStyle name="SAPBEXformats 5 4 2 2" xfId="6544"/>
    <cellStyle name="SAPBEXformats 5 4 3" xfId="4978"/>
    <cellStyle name="SAPBEXformats 5 5" xfId="2142"/>
    <cellStyle name="SAPBEXformats 5 5 2" xfId="3780"/>
    <cellStyle name="SAPBEXformats 5 5 2 2" xfId="6741"/>
    <cellStyle name="SAPBEXformats 5 5 3" xfId="5186"/>
    <cellStyle name="SAPBEXformats 5 6" xfId="2355"/>
    <cellStyle name="SAPBEXformats 5 6 2" xfId="3980"/>
    <cellStyle name="SAPBEXformats 5 6 2 2" xfId="6936"/>
    <cellStyle name="SAPBEXformats 5 6 3" xfId="5388"/>
    <cellStyle name="SAPBEXformats 5 7" xfId="2560"/>
    <cellStyle name="SAPBEXformats 5 7 2" xfId="5587"/>
    <cellStyle name="SAPBEXformats 5 8" xfId="2856"/>
    <cellStyle name="SAPBEXformats 5 8 2" xfId="5843"/>
    <cellStyle name="SAPBEXformats 6" xfId="1449"/>
    <cellStyle name="SAPBEXformats 6 2" xfId="3160"/>
    <cellStyle name="SAPBEXformats 6 2 2" xfId="6135"/>
    <cellStyle name="SAPBEXformats 6 3" xfId="4625"/>
    <cellStyle name="SAPBEXformats 7" xfId="1263"/>
    <cellStyle name="SAPBEXformats 7 2" xfId="3079"/>
    <cellStyle name="SAPBEXformats 7 2 2" xfId="6057"/>
    <cellStyle name="SAPBEXformats 7 3" xfId="4524"/>
    <cellStyle name="SAPBEXformats 8" xfId="1394"/>
    <cellStyle name="SAPBEXformats 8 2" xfId="3123"/>
    <cellStyle name="SAPBEXformats 8 2 2" xfId="6099"/>
    <cellStyle name="SAPBEXformats 8 3" xfId="4583"/>
    <cellStyle name="SAPBEXformats 9" xfId="1131"/>
    <cellStyle name="SAPBEXformats 9 2" xfId="3006"/>
    <cellStyle name="SAPBEXformats 9 2 2" xfId="5989"/>
    <cellStyle name="SAPBEXformats 9 3" xfId="4432"/>
    <cellStyle name="SAPBEXformats_Sch-3" xfId="827"/>
    <cellStyle name="SAPBEXheaderItem" xfId="246"/>
    <cellStyle name="SAPBEXheaderItem 2" xfId="921"/>
    <cellStyle name="SAPBEXheaderItem 2 2" xfId="1671"/>
    <cellStyle name="SAPBEXheaderItem 2 2 2" xfId="3347"/>
    <cellStyle name="SAPBEXheaderItem 2 2 2 2" xfId="6318"/>
    <cellStyle name="SAPBEXheaderItem 2 2 3" xfId="4788"/>
    <cellStyle name="SAPBEXheaderItem 2 3" xfId="1898"/>
    <cellStyle name="SAPBEXheaderItem 2 3 2" xfId="3552"/>
    <cellStyle name="SAPBEXheaderItem 2 3 2 2" xfId="6519"/>
    <cellStyle name="SAPBEXheaderItem 2 3 3" xfId="4953"/>
    <cellStyle name="SAPBEXheaderItem 2 4" xfId="2116"/>
    <cellStyle name="SAPBEXheaderItem 2 4 2" xfId="3754"/>
    <cellStyle name="SAPBEXheaderItem 2 4 2 2" xfId="6716"/>
    <cellStyle name="SAPBEXheaderItem 2 4 3" xfId="5161"/>
    <cellStyle name="SAPBEXheaderItem 2 5" xfId="2329"/>
    <cellStyle name="SAPBEXheaderItem 2 5 2" xfId="3954"/>
    <cellStyle name="SAPBEXheaderItem 2 5 2 2" xfId="6911"/>
    <cellStyle name="SAPBEXheaderItem 2 5 3" xfId="5363"/>
    <cellStyle name="SAPBEXheaderItem 2 6" xfId="2534"/>
    <cellStyle name="SAPBEXheaderItem 2 6 2" xfId="4148"/>
    <cellStyle name="SAPBEXheaderItem 2 6 2 2" xfId="7103"/>
    <cellStyle name="SAPBEXheaderItem 2 6 3" xfId="5562"/>
    <cellStyle name="SAPBEXheaderItem 2 7" xfId="2830"/>
    <cellStyle name="SAPBEXheaderItem 2 7 2" xfId="5818"/>
    <cellStyle name="SAPBEXheaderItem 2 8" xfId="4359"/>
    <cellStyle name="SAPBEXheaderItem 3" xfId="1001"/>
    <cellStyle name="SAPBEXheaderItem 3 2" xfId="1570"/>
    <cellStyle name="SAPBEXheaderItem 3 2 2" xfId="3253"/>
    <cellStyle name="SAPBEXheaderItem 3 2 2 2" xfId="6225"/>
    <cellStyle name="SAPBEXheaderItem 3 2 3" xfId="4712"/>
    <cellStyle name="SAPBEXheaderItem 3 3" xfId="1741"/>
    <cellStyle name="SAPBEXheaderItem 3 3 2" xfId="3412"/>
    <cellStyle name="SAPBEXheaderItem 3 3 2 2" xfId="6382"/>
    <cellStyle name="SAPBEXheaderItem 3 4" xfId="1964"/>
    <cellStyle name="SAPBEXheaderItem 3 4 2" xfId="3616"/>
    <cellStyle name="SAPBEXheaderItem 3 4 2 2" xfId="6582"/>
    <cellStyle name="SAPBEXheaderItem 3 4 3" xfId="5018"/>
    <cellStyle name="SAPBEXheaderItem 3 5" xfId="2180"/>
    <cellStyle name="SAPBEXheaderItem 3 5 2" xfId="3818"/>
    <cellStyle name="SAPBEXheaderItem 3 5 2 2" xfId="6778"/>
    <cellStyle name="SAPBEXheaderItem 3 5 3" xfId="5223"/>
    <cellStyle name="SAPBEXheaderItem 3 6" xfId="2392"/>
    <cellStyle name="SAPBEXheaderItem 3 6 2" xfId="4017"/>
    <cellStyle name="SAPBEXheaderItem 3 6 2 2" xfId="6973"/>
    <cellStyle name="SAPBEXheaderItem 3 6 3" xfId="5425"/>
    <cellStyle name="SAPBEXheaderItem 3 7" xfId="2596"/>
    <cellStyle name="SAPBEXheaderItem 3 7 2" xfId="5623"/>
    <cellStyle name="SAPBEXheaderItem 3 8" xfId="2893"/>
    <cellStyle name="SAPBEXheaderItem 3 8 2" xfId="5879"/>
    <cellStyle name="SAPBEXheaderItem 4" xfId="1448"/>
    <cellStyle name="SAPBEXheaderItem 4 2" xfId="3159"/>
    <cellStyle name="SAPBEXheaderItem 4 2 2" xfId="6134"/>
    <cellStyle name="SAPBEXheaderItem 4 3" xfId="4624"/>
    <cellStyle name="SAPBEXheaderItem 5" xfId="1264"/>
    <cellStyle name="SAPBEXheaderItem 5 2" xfId="3080"/>
    <cellStyle name="SAPBEXheaderItem 5 2 2" xfId="6058"/>
    <cellStyle name="SAPBEXheaderItem 5 3" xfId="4525"/>
    <cellStyle name="SAPBEXheaderItem 6" xfId="1516"/>
    <cellStyle name="SAPBEXheaderItem 6 2" xfId="3203"/>
    <cellStyle name="SAPBEXheaderItem 6 2 2" xfId="6176"/>
    <cellStyle name="SAPBEXheaderItem 6 3" xfId="4663"/>
    <cellStyle name="SAPBEXheaderItem 7" xfId="1132"/>
    <cellStyle name="SAPBEXheaderItem 7 2" xfId="3007"/>
    <cellStyle name="SAPBEXheaderItem 7 2 2" xfId="5990"/>
    <cellStyle name="SAPBEXheaderItem 7 3" xfId="4433"/>
    <cellStyle name="SAPBEXheaderItem 8" xfId="1090"/>
    <cellStyle name="SAPBEXheaderItem 8 2" xfId="2980"/>
    <cellStyle name="SAPBEXheaderItem 8 2 2" xfId="5965"/>
    <cellStyle name="SAPBEXheaderItem 8 3" xfId="4400"/>
    <cellStyle name="SAPBEXheaderItem 9" xfId="2751"/>
    <cellStyle name="SAPBEXheaderItem 9 2" xfId="5740"/>
    <cellStyle name="SAPBEXheaderText" xfId="247"/>
    <cellStyle name="SAPBEXheaderText 2" xfId="920"/>
    <cellStyle name="SAPBEXheaderText 2 2" xfId="1670"/>
    <cellStyle name="SAPBEXheaderText 2 2 2" xfId="3346"/>
    <cellStyle name="SAPBEXheaderText 2 2 2 2" xfId="6317"/>
    <cellStyle name="SAPBEXheaderText 2 2 3" xfId="4787"/>
    <cellStyle name="SAPBEXheaderText 2 3" xfId="1897"/>
    <cellStyle name="SAPBEXheaderText 2 3 2" xfId="3551"/>
    <cellStyle name="SAPBEXheaderText 2 3 2 2" xfId="6518"/>
    <cellStyle name="SAPBEXheaderText 2 3 3" xfId="4952"/>
    <cellStyle name="SAPBEXheaderText 2 4" xfId="2115"/>
    <cellStyle name="SAPBEXheaderText 2 4 2" xfId="3753"/>
    <cellStyle name="SAPBEXheaderText 2 4 2 2" xfId="6715"/>
    <cellStyle name="SAPBEXheaderText 2 4 3" xfId="5160"/>
    <cellStyle name="SAPBEXheaderText 2 5" xfId="2328"/>
    <cellStyle name="SAPBEXheaderText 2 5 2" xfId="3953"/>
    <cellStyle name="SAPBEXheaderText 2 5 2 2" xfId="6910"/>
    <cellStyle name="SAPBEXheaderText 2 5 3" xfId="5362"/>
    <cellStyle name="SAPBEXheaderText 2 6" xfId="2533"/>
    <cellStyle name="SAPBEXheaderText 2 6 2" xfId="4147"/>
    <cellStyle name="SAPBEXheaderText 2 6 2 2" xfId="7102"/>
    <cellStyle name="SAPBEXheaderText 2 6 3" xfId="5561"/>
    <cellStyle name="SAPBEXheaderText 2 7" xfId="2829"/>
    <cellStyle name="SAPBEXheaderText 2 7 2" xfId="5817"/>
    <cellStyle name="SAPBEXheaderText 2 8" xfId="4358"/>
    <cellStyle name="SAPBEXheaderText 3" xfId="948"/>
    <cellStyle name="SAPBEXheaderText 3 2" xfId="1527"/>
    <cellStyle name="SAPBEXheaderText 3 2 2" xfId="3212"/>
    <cellStyle name="SAPBEXheaderText 3 2 2 2" xfId="6185"/>
    <cellStyle name="SAPBEXheaderText 3 2 3" xfId="4673"/>
    <cellStyle name="SAPBEXheaderText 3 3" xfId="1698"/>
    <cellStyle name="SAPBEXheaderText 3 3 2" xfId="3374"/>
    <cellStyle name="SAPBEXheaderText 3 3 2 2" xfId="6344"/>
    <cellStyle name="SAPBEXheaderText 3 4" xfId="1925"/>
    <cellStyle name="SAPBEXheaderText 3 4 2" xfId="3579"/>
    <cellStyle name="SAPBEXheaderText 3 4 2 2" xfId="6545"/>
    <cellStyle name="SAPBEXheaderText 3 4 3" xfId="4979"/>
    <cellStyle name="SAPBEXheaderText 3 5" xfId="2143"/>
    <cellStyle name="SAPBEXheaderText 3 5 2" xfId="3781"/>
    <cellStyle name="SAPBEXheaderText 3 5 2 2" xfId="6742"/>
    <cellStyle name="SAPBEXheaderText 3 5 3" xfId="5187"/>
    <cellStyle name="SAPBEXheaderText 3 6" xfId="2356"/>
    <cellStyle name="SAPBEXheaderText 3 6 2" xfId="3981"/>
    <cellStyle name="SAPBEXheaderText 3 6 2 2" xfId="6937"/>
    <cellStyle name="SAPBEXheaderText 3 6 3" xfId="5389"/>
    <cellStyle name="SAPBEXheaderText 3 7" xfId="2561"/>
    <cellStyle name="SAPBEXheaderText 3 7 2" xfId="5588"/>
    <cellStyle name="SAPBEXheaderText 3 8" xfId="2857"/>
    <cellStyle name="SAPBEXheaderText 3 8 2" xfId="5844"/>
    <cellStyle name="SAPBEXheaderText 4" xfId="1447"/>
    <cellStyle name="SAPBEXheaderText 4 2" xfId="3158"/>
    <cellStyle name="SAPBEXheaderText 4 2 2" xfId="6133"/>
    <cellStyle name="SAPBEXheaderText 4 3" xfId="4623"/>
    <cellStyle name="SAPBEXheaderText 5" xfId="1265"/>
    <cellStyle name="SAPBEXheaderText 5 2" xfId="3081"/>
    <cellStyle name="SAPBEXheaderText 5 2 2" xfId="6059"/>
    <cellStyle name="SAPBEXheaderText 5 3" xfId="4526"/>
    <cellStyle name="SAPBEXheaderText 6" xfId="1450"/>
    <cellStyle name="SAPBEXheaderText 6 2" xfId="3161"/>
    <cellStyle name="SAPBEXheaderText 6 2 2" xfId="6136"/>
    <cellStyle name="SAPBEXheaderText 6 3" xfId="4626"/>
    <cellStyle name="SAPBEXheaderText 7" xfId="1145"/>
    <cellStyle name="SAPBEXheaderText 7 2" xfId="3016"/>
    <cellStyle name="SAPBEXheaderText 7 2 2" xfId="5999"/>
    <cellStyle name="SAPBEXheaderText 7 3" xfId="4443"/>
    <cellStyle name="SAPBEXheaderText 8" xfId="197"/>
    <cellStyle name="SAPBEXheaderText 8 2" xfId="2732"/>
    <cellStyle name="SAPBEXheaderText 8 2 2" xfId="5722"/>
    <cellStyle name="SAPBEXheaderText 8 3" xfId="4244"/>
    <cellStyle name="SAPBEXheaderText 9" xfId="2752"/>
    <cellStyle name="SAPBEXheaderText 9 2" xfId="5741"/>
    <cellStyle name="SAPBEXHLevel0" xfId="248"/>
    <cellStyle name="SAPBEXHLevel0 10" xfId="1117"/>
    <cellStyle name="SAPBEXHLevel0 10 2" xfId="2997"/>
    <cellStyle name="SAPBEXHLevel0 10 2 2" xfId="5981"/>
    <cellStyle name="SAPBEXHLevel0 10 3" xfId="4422"/>
    <cellStyle name="SAPBEXHLevel0 11" xfId="2753"/>
    <cellStyle name="SAPBEXHLevel0 11 2" xfId="5742"/>
    <cellStyle name="SAPBEXHLevel0 2" xfId="845"/>
    <cellStyle name="SAPBEXHLevel0 2 10" xfId="2486"/>
    <cellStyle name="SAPBEXHLevel0 2 10 2" xfId="4109"/>
    <cellStyle name="SAPBEXHLevel0 2 10 2 2" xfId="7064"/>
    <cellStyle name="SAPBEXHLevel0 2 10 3" xfId="5516"/>
    <cellStyle name="SAPBEXHLevel0 2 11" xfId="2789"/>
    <cellStyle name="SAPBEXHLevel0 2 11 2" xfId="5777"/>
    <cellStyle name="SAPBEXHLevel0 2 2" xfId="1011"/>
    <cellStyle name="SAPBEXHLevel0 2 2 2" xfId="1577"/>
    <cellStyle name="SAPBEXHLevel0 2 2 2 2" xfId="3260"/>
    <cellStyle name="SAPBEXHLevel0 2 2 2 2 2" xfId="6232"/>
    <cellStyle name="SAPBEXHLevel0 2 2 3" xfId="1751"/>
    <cellStyle name="SAPBEXHLevel0 2 2 3 2" xfId="3422"/>
    <cellStyle name="SAPBEXHLevel0 2 2 3 2 2" xfId="6392"/>
    <cellStyle name="SAPBEXHLevel0 2 2 3 3" xfId="4828"/>
    <cellStyle name="SAPBEXHLevel0 2 2 4" xfId="1974"/>
    <cellStyle name="SAPBEXHLevel0 2 2 4 2" xfId="3626"/>
    <cellStyle name="SAPBEXHLevel0 2 2 4 2 2" xfId="6592"/>
    <cellStyle name="SAPBEXHLevel0 2 2 4 3" xfId="5028"/>
    <cellStyle name="SAPBEXHLevel0 2 2 5" xfId="2190"/>
    <cellStyle name="SAPBEXHLevel0 2 2 5 2" xfId="3828"/>
    <cellStyle name="SAPBEXHLevel0 2 2 5 2 2" xfId="6788"/>
    <cellStyle name="SAPBEXHLevel0 2 2 5 3" xfId="5233"/>
    <cellStyle name="SAPBEXHLevel0 2 2 6" xfId="2402"/>
    <cellStyle name="SAPBEXHLevel0 2 2 6 2" xfId="4027"/>
    <cellStyle name="SAPBEXHLevel0 2 2 6 2 2" xfId="6983"/>
    <cellStyle name="SAPBEXHLevel0 2 2 6 3" xfId="5435"/>
    <cellStyle name="SAPBEXHLevel0 2 2 7" xfId="2606"/>
    <cellStyle name="SAPBEXHLevel0 2 2 7 2" xfId="4172"/>
    <cellStyle name="SAPBEXHLevel0 2 2 7 2 2" xfId="7127"/>
    <cellStyle name="SAPBEXHLevel0 2 2 7 3" xfId="5633"/>
    <cellStyle name="SAPBEXHLevel0 2 2 8" xfId="2903"/>
    <cellStyle name="SAPBEXHLevel0 2 2 8 2" xfId="5889"/>
    <cellStyle name="SAPBEXHLevel0 2 3" xfId="962"/>
    <cellStyle name="SAPBEXHLevel0 2 3 2" xfId="1537"/>
    <cellStyle name="SAPBEXHLevel0 2 3 2 2" xfId="3221"/>
    <cellStyle name="SAPBEXHLevel0 2 3 2 2 2" xfId="6194"/>
    <cellStyle name="SAPBEXHLevel0 2 3 2 3" xfId="4682"/>
    <cellStyle name="SAPBEXHLevel0 2 3 3" xfId="1709"/>
    <cellStyle name="SAPBEXHLevel0 2 3 3 2" xfId="3382"/>
    <cellStyle name="SAPBEXHLevel0 2 3 3 2 2" xfId="6352"/>
    <cellStyle name="SAPBEXHLevel0 2 3 3 3" xfId="4812"/>
    <cellStyle name="SAPBEXHLevel0 2 3 4" xfId="1933"/>
    <cellStyle name="SAPBEXHLevel0 2 3 4 2" xfId="3587"/>
    <cellStyle name="SAPBEXHLevel0 2 3 4 2 2" xfId="6553"/>
    <cellStyle name="SAPBEXHLevel0 2 3 4 3" xfId="4987"/>
    <cellStyle name="SAPBEXHLevel0 2 3 5" xfId="2150"/>
    <cellStyle name="SAPBEXHLevel0 2 3 5 2" xfId="3788"/>
    <cellStyle name="SAPBEXHLevel0 2 3 5 2 2" xfId="6749"/>
    <cellStyle name="SAPBEXHLevel0 2 3 5 3" xfId="5194"/>
    <cellStyle name="SAPBEXHLevel0 2 3 6" xfId="2363"/>
    <cellStyle name="SAPBEXHLevel0 2 3 6 2" xfId="3988"/>
    <cellStyle name="SAPBEXHLevel0 2 3 6 2 2" xfId="6944"/>
    <cellStyle name="SAPBEXHLevel0 2 3 6 3" xfId="5396"/>
    <cellStyle name="SAPBEXHLevel0 2 3 7" xfId="2568"/>
    <cellStyle name="SAPBEXHLevel0 2 3 7 2" xfId="5595"/>
    <cellStyle name="SAPBEXHLevel0 2 3 8" xfId="2864"/>
    <cellStyle name="SAPBEXHLevel0 2 3 8 2" xfId="5851"/>
    <cellStyle name="SAPBEXHLevel0 2 4" xfId="1063"/>
    <cellStyle name="SAPBEXHLevel0 2 4 2" xfId="1624"/>
    <cellStyle name="SAPBEXHLevel0 2 4 2 2" xfId="3305"/>
    <cellStyle name="SAPBEXHLevel0 2 4 2 2 2" xfId="6276"/>
    <cellStyle name="SAPBEXHLevel0 2 4 2 3" xfId="4744"/>
    <cellStyle name="SAPBEXHLevel0 2 4 3" xfId="1803"/>
    <cellStyle name="SAPBEXHLevel0 2 4 3 2" xfId="3474"/>
    <cellStyle name="SAPBEXHLevel0 2 4 3 2 2" xfId="6443"/>
    <cellStyle name="SAPBEXHLevel0 2 4 3 3" xfId="4869"/>
    <cellStyle name="SAPBEXHLevel0 2 4 4" xfId="2026"/>
    <cellStyle name="SAPBEXHLevel0 2 4 4 2" xfId="3678"/>
    <cellStyle name="SAPBEXHLevel0 2 4 4 2 2" xfId="6642"/>
    <cellStyle name="SAPBEXHLevel0 2 4 4 3" xfId="5078"/>
    <cellStyle name="SAPBEXHLevel0 2 4 5" xfId="2242"/>
    <cellStyle name="SAPBEXHLevel0 2 4 5 2" xfId="3880"/>
    <cellStyle name="SAPBEXHLevel0 2 4 5 2 2" xfId="6838"/>
    <cellStyle name="SAPBEXHLevel0 2 4 5 3" xfId="5283"/>
    <cellStyle name="SAPBEXHLevel0 2 4 6" xfId="2454"/>
    <cellStyle name="SAPBEXHLevel0 2 4 6 2" xfId="4079"/>
    <cellStyle name="SAPBEXHLevel0 2 4 6 2 2" xfId="7034"/>
    <cellStyle name="SAPBEXHLevel0 2 4 6 3" xfId="5486"/>
    <cellStyle name="SAPBEXHLevel0 2 4 7" xfId="2658"/>
    <cellStyle name="SAPBEXHLevel0 2 4 7 2" xfId="5684"/>
    <cellStyle name="SAPBEXHLevel0 2 4 8" xfId="2955"/>
    <cellStyle name="SAPBEXHLevel0 2 4 8 2" xfId="5940"/>
    <cellStyle name="SAPBEXHLevel0 2 5" xfId="1460"/>
    <cellStyle name="SAPBEXHLevel0 2 5 2" xfId="3168"/>
    <cellStyle name="SAPBEXHLevel0 2 5 2 2" xfId="6142"/>
    <cellStyle name="SAPBEXHLevel0 2 6" xfId="1222"/>
    <cellStyle name="SAPBEXHLevel0 2 6 2" xfId="3054"/>
    <cellStyle name="SAPBEXHLevel0 2 6 2 2" xfId="6034"/>
    <cellStyle name="SAPBEXHLevel0 2 6 3" xfId="4493"/>
    <cellStyle name="SAPBEXHLevel0 2 7" xfId="1844"/>
    <cellStyle name="SAPBEXHLevel0 2 7 2" xfId="3508"/>
    <cellStyle name="SAPBEXHLevel0 2 7 2 2" xfId="6476"/>
    <cellStyle name="SAPBEXHLevel0 2 7 3" xfId="4902"/>
    <cellStyle name="SAPBEXHLevel0 2 8" xfId="2061"/>
    <cellStyle name="SAPBEXHLevel0 2 8 2" xfId="3709"/>
    <cellStyle name="SAPBEXHLevel0 2 8 2 2" xfId="6672"/>
    <cellStyle name="SAPBEXHLevel0 2 8 3" xfId="5109"/>
    <cellStyle name="SAPBEXHLevel0 2 9" xfId="2277"/>
    <cellStyle name="SAPBEXHLevel0 2 9 2" xfId="3911"/>
    <cellStyle name="SAPBEXHLevel0 2 9 2 2" xfId="6868"/>
    <cellStyle name="SAPBEXHLevel0 2 9 3" xfId="5314"/>
    <cellStyle name="SAPBEXHLevel0 3" xfId="855"/>
    <cellStyle name="SAPBEXHLevel0 3 10" xfId="2496"/>
    <cellStyle name="SAPBEXHLevel0 3 10 2" xfId="4119"/>
    <cellStyle name="SAPBEXHLevel0 3 10 2 2" xfId="7074"/>
    <cellStyle name="SAPBEXHLevel0 3 10 3" xfId="5526"/>
    <cellStyle name="SAPBEXHLevel0 3 11" xfId="2799"/>
    <cellStyle name="SAPBEXHLevel0 3 11 2" xfId="5787"/>
    <cellStyle name="SAPBEXHLevel0 3 2" xfId="1021"/>
    <cellStyle name="SAPBEXHLevel0 3 2 2" xfId="1587"/>
    <cellStyle name="SAPBEXHLevel0 3 2 2 2" xfId="3270"/>
    <cellStyle name="SAPBEXHLevel0 3 2 2 2 2" xfId="6242"/>
    <cellStyle name="SAPBEXHLevel0 3 2 3" xfId="1761"/>
    <cellStyle name="SAPBEXHLevel0 3 2 3 2" xfId="3432"/>
    <cellStyle name="SAPBEXHLevel0 3 2 3 2 2" xfId="6402"/>
    <cellStyle name="SAPBEXHLevel0 3 2 3 3" xfId="4838"/>
    <cellStyle name="SAPBEXHLevel0 3 2 4" xfId="1984"/>
    <cellStyle name="SAPBEXHLevel0 3 2 4 2" xfId="3636"/>
    <cellStyle name="SAPBEXHLevel0 3 2 4 2 2" xfId="6602"/>
    <cellStyle name="SAPBEXHLevel0 3 2 4 3" xfId="5038"/>
    <cellStyle name="SAPBEXHLevel0 3 2 5" xfId="2200"/>
    <cellStyle name="SAPBEXHLevel0 3 2 5 2" xfId="3838"/>
    <cellStyle name="SAPBEXHLevel0 3 2 5 2 2" xfId="6798"/>
    <cellStyle name="SAPBEXHLevel0 3 2 5 3" xfId="5243"/>
    <cellStyle name="SAPBEXHLevel0 3 2 6" xfId="2412"/>
    <cellStyle name="SAPBEXHLevel0 3 2 6 2" xfId="4037"/>
    <cellStyle name="SAPBEXHLevel0 3 2 6 2 2" xfId="6993"/>
    <cellStyle name="SAPBEXHLevel0 3 2 6 3" xfId="5445"/>
    <cellStyle name="SAPBEXHLevel0 3 2 7" xfId="2616"/>
    <cellStyle name="SAPBEXHLevel0 3 2 7 2" xfId="4182"/>
    <cellStyle name="SAPBEXHLevel0 3 2 7 2 2" xfId="7137"/>
    <cellStyle name="SAPBEXHLevel0 3 2 7 3" xfId="5643"/>
    <cellStyle name="SAPBEXHLevel0 3 2 8" xfId="2913"/>
    <cellStyle name="SAPBEXHLevel0 3 2 8 2" xfId="5899"/>
    <cellStyle name="SAPBEXHLevel0 3 3" xfId="1041"/>
    <cellStyle name="SAPBEXHLevel0 3 3 2" xfId="1603"/>
    <cellStyle name="SAPBEXHLevel0 3 3 2 2" xfId="3285"/>
    <cellStyle name="SAPBEXHLevel0 3 3 2 2 2" xfId="6257"/>
    <cellStyle name="SAPBEXHLevel0 3 3 2 3" xfId="4725"/>
    <cellStyle name="SAPBEXHLevel0 3 3 3" xfId="1781"/>
    <cellStyle name="SAPBEXHLevel0 3 3 3 2" xfId="3452"/>
    <cellStyle name="SAPBEXHLevel0 3 3 3 2 2" xfId="6422"/>
    <cellStyle name="SAPBEXHLevel0 3 3 3 3" xfId="4858"/>
    <cellStyle name="SAPBEXHLevel0 3 3 4" xfId="2004"/>
    <cellStyle name="SAPBEXHLevel0 3 3 4 2" xfId="3656"/>
    <cellStyle name="SAPBEXHLevel0 3 3 4 2 2" xfId="6621"/>
    <cellStyle name="SAPBEXHLevel0 3 3 4 3" xfId="5057"/>
    <cellStyle name="SAPBEXHLevel0 3 3 5" xfId="2220"/>
    <cellStyle name="SAPBEXHLevel0 3 3 5 2" xfId="3858"/>
    <cellStyle name="SAPBEXHLevel0 3 3 5 2 2" xfId="6817"/>
    <cellStyle name="SAPBEXHLevel0 3 3 5 3" xfId="5262"/>
    <cellStyle name="SAPBEXHLevel0 3 3 6" xfId="2432"/>
    <cellStyle name="SAPBEXHLevel0 3 3 6 2" xfId="4057"/>
    <cellStyle name="SAPBEXHLevel0 3 3 6 2 2" xfId="7013"/>
    <cellStyle name="SAPBEXHLevel0 3 3 6 3" xfId="5465"/>
    <cellStyle name="SAPBEXHLevel0 3 3 7" xfId="2636"/>
    <cellStyle name="SAPBEXHLevel0 3 3 7 2" xfId="5663"/>
    <cellStyle name="SAPBEXHLevel0 3 3 8" xfId="2933"/>
    <cellStyle name="SAPBEXHLevel0 3 3 8 2" xfId="5919"/>
    <cellStyle name="SAPBEXHLevel0 3 4" xfId="1073"/>
    <cellStyle name="SAPBEXHLevel0 3 4 2" xfId="1634"/>
    <cellStyle name="SAPBEXHLevel0 3 4 2 2" xfId="3315"/>
    <cellStyle name="SAPBEXHLevel0 3 4 2 2 2" xfId="6286"/>
    <cellStyle name="SAPBEXHLevel0 3 4 2 3" xfId="4754"/>
    <cellStyle name="SAPBEXHLevel0 3 4 3" xfId="1813"/>
    <cellStyle name="SAPBEXHLevel0 3 4 3 2" xfId="3484"/>
    <cellStyle name="SAPBEXHLevel0 3 4 3 2 2" xfId="6453"/>
    <cellStyle name="SAPBEXHLevel0 3 4 3 3" xfId="4879"/>
    <cellStyle name="SAPBEXHLevel0 3 4 4" xfId="2036"/>
    <cellStyle name="SAPBEXHLevel0 3 4 4 2" xfId="3688"/>
    <cellStyle name="SAPBEXHLevel0 3 4 4 2 2" xfId="6652"/>
    <cellStyle name="SAPBEXHLevel0 3 4 4 3" xfId="5088"/>
    <cellStyle name="SAPBEXHLevel0 3 4 5" xfId="2252"/>
    <cellStyle name="SAPBEXHLevel0 3 4 5 2" xfId="3890"/>
    <cellStyle name="SAPBEXHLevel0 3 4 5 2 2" xfId="6848"/>
    <cellStyle name="SAPBEXHLevel0 3 4 5 3" xfId="5293"/>
    <cellStyle name="SAPBEXHLevel0 3 4 6" xfId="2464"/>
    <cellStyle name="SAPBEXHLevel0 3 4 6 2" xfId="4089"/>
    <cellStyle name="SAPBEXHLevel0 3 4 6 2 2" xfId="7044"/>
    <cellStyle name="SAPBEXHLevel0 3 4 6 3" xfId="5496"/>
    <cellStyle name="SAPBEXHLevel0 3 4 7" xfId="2668"/>
    <cellStyle name="SAPBEXHLevel0 3 4 7 2" xfId="5694"/>
    <cellStyle name="SAPBEXHLevel0 3 4 8" xfId="2965"/>
    <cellStyle name="SAPBEXHLevel0 3 4 8 2" xfId="5950"/>
    <cellStyle name="SAPBEXHLevel0 3 5" xfId="1470"/>
    <cellStyle name="SAPBEXHLevel0 3 5 2" xfId="3178"/>
    <cellStyle name="SAPBEXHLevel0 3 5 2 2" xfId="6152"/>
    <cellStyle name="SAPBEXHLevel0 3 6" xfId="1093"/>
    <cellStyle name="SAPBEXHLevel0 3 6 2" xfId="2982"/>
    <cellStyle name="SAPBEXHLevel0 3 6 2 2" xfId="5967"/>
    <cellStyle name="SAPBEXHLevel0 3 6 3" xfId="4403"/>
    <cellStyle name="SAPBEXHLevel0 3 7" xfId="1854"/>
    <cellStyle name="SAPBEXHLevel0 3 7 2" xfId="3518"/>
    <cellStyle name="SAPBEXHLevel0 3 7 2 2" xfId="6486"/>
    <cellStyle name="SAPBEXHLevel0 3 7 3" xfId="4912"/>
    <cellStyle name="SAPBEXHLevel0 3 8" xfId="2071"/>
    <cellStyle name="SAPBEXHLevel0 3 8 2" xfId="3719"/>
    <cellStyle name="SAPBEXHLevel0 3 8 2 2" xfId="6682"/>
    <cellStyle name="SAPBEXHLevel0 3 8 3" xfId="5119"/>
    <cellStyle name="SAPBEXHLevel0 3 9" xfId="2287"/>
    <cellStyle name="SAPBEXHLevel0 3 9 2" xfId="3921"/>
    <cellStyle name="SAPBEXHLevel0 3 9 2 2" xfId="6878"/>
    <cellStyle name="SAPBEXHLevel0 3 9 3" xfId="5324"/>
    <cellStyle name="SAPBEXHLevel0 4" xfId="919"/>
    <cellStyle name="SAPBEXHLevel0 4 2" xfId="1669"/>
    <cellStyle name="SAPBEXHLevel0 4 2 2" xfId="3345"/>
    <cellStyle name="SAPBEXHLevel0 4 2 2 2" xfId="6316"/>
    <cellStyle name="SAPBEXHLevel0 4 2 3" xfId="4786"/>
    <cellStyle name="SAPBEXHLevel0 4 3" xfId="1896"/>
    <cellStyle name="SAPBEXHLevel0 4 3 2" xfId="3550"/>
    <cellStyle name="SAPBEXHLevel0 4 3 2 2" xfId="6517"/>
    <cellStyle name="SAPBEXHLevel0 4 3 3" xfId="4951"/>
    <cellStyle name="SAPBEXHLevel0 4 4" xfId="2114"/>
    <cellStyle name="SAPBEXHLevel0 4 4 2" xfId="3752"/>
    <cellStyle name="SAPBEXHLevel0 4 4 2 2" xfId="6714"/>
    <cellStyle name="SAPBEXHLevel0 4 4 3" xfId="5159"/>
    <cellStyle name="SAPBEXHLevel0 4 5" xfId="2327"/>
    <cellStyle name="SAPBEXHLevel0 4 5 2" xfId="3952"/>
    <cellStyle name="SAPBEXHLevel0 4 5 2 2" xfId="6909"/>
    <cellStyle name="SAPBEXHLevel0 4 5 3" xfId="5361"/>
    <cellStyle name="SAPBEXHLevel0 4 6" xfId="2532"/>
    <cellStyle name="SAPBEXHLevel0 4 6 2" xfId="4146"/>
    <cellStyle name="SAPBEXHLevel0 4 6 2 2" xfId="7101"/>
    <cellStyle name="SAPBEXHLevel0 4 6 3" xfId="5560"/>
    <cellStyle name="SAPBEXHLevel0 4 7" xfId="2828"/>
    <cellStyle name="SAPBEXHLevel0 4 7 2" xfId="5816"/>
    <cellStyle name="SAPBEXHLevel0 4 8" xfId="4357"/>
    <cellStyle name="SAPBEXHLevel0 5" xfId="935"/>
    <cellStyle name="SAPBEXHLevel0 5 2" xfId="1518"/>
    <cellStyle name="SAPBEXHLevel0 5 2 2" xfId="3205"/>
    <cellStyle name="SAPBEXHLevel0 5 2 2 2" xfId="6178"/>
    <cellStyle name="SAPBEXHLevel0 5 2 3" xfId="4665"/>
    <cellStyle name="SAPBEXHLevel0 5 3" xfId="1685"/>
    <cellStyle name="SAPBEXHLevel0 5 3 2" xfId="3361"/>
    <cellStyle name="SAPBEXHLevel0 5 3 2 2" xfId="6331"/>
    <cellStyle name="SAPBEXHLevel0 5 4" xfId="1912"/>
    <cellStyle name="SAPBEXHLevel0 5 4 2" xfId="3566"/>
    <cellStyle name="SAPBEXHLevel0 5 4 2 2" xfId="6532"/>
    <cellStyle name="SAPBEXHLevel0 5 4 3" xfId="4966"/>
    <cellStyle name="SAPBEXHLevel0 5 5" xfId="2130"/>
    <cellStyle name="SAPBEXHLevel0 5 5 2" xfId="3768"/>
    <cellStyle name="SAPBEXHLevel0 5 5 2 2" xfId="6729"/>
    <cellStyle name="SAPBEXHLevel0 5 5 3" xfId="5174"/>
    <cellStyle name="SAPBEXHLevel0 5 6" xfId="2343"/>
    <cellStyle name="SAPBEXHLevel0 5 6 2" xfId="3968"/>
    <cellStyle name="SAPBEXHLevel0 5 6 2 2" xfId="6924"/>
    <cellStyle name="SAPBEXHLevel0 5 6 3" xfId="5376"/>
    <cellStyle name="SAPBEXHLevel0 5 7" xfId="2548"/>
    <cellStyle name="SAPBEXHLevel0 5 7 2" xfId="5575"/>
    <cellStyle name="SAPBEXHLevel0 5 8" xfId="2844"/>
    <cellStyle name="SAPBEXHLevel0 5 8 2" xfId="5831"/>
    <cellStyle name="SAPBEXHLevel0 6" xfId="1446"/>
    <cellStyle name="SAPBEXHLevel0 6 2" xfId="3157"/>
    <cellStyle name="SAPBEXHLevel0 6 2 2" xfId="6132"/>
    <cellStyle name="SAPBEXHLevel0 6 3" xfId="4622"/>
    <cellStyle name="SAPBEXHLevel0 7" xfId="1472"/>
    <cellStyle name="SAPBEXHLevel0 7 2" xfId="3180"/>
    <cellStyle name="SAPBEXHLevel0 7 2 2" xfId="6154"/>
    <cellStyle name="SAPBEXHLevel0 7 3" xfId="4633"/>
    <cellStyle name="SAPBEXHLevel0 8" xfId="1393"/>
    <cellStyle name="SAPBEXHLevel0 8 2" xfId="3122"/>
    <cellStyle name="SAPBEXHLevel0 8 2 2" xfId="6098"/>
    <cellStyle name="SAPBEXHLevel0 8 3" xfId="4582"/>
    <cellStyle name="SAPBEXHLevel0 9" xfId="1429"/>
    <cellStyle name="SAPBEXHLevel0 9 2" xfId="3143"/>
    <cellStyle name="SAPBEXHLevel0 9 2 2" xfId="6118"/>
    <cellStyle name="SAPBEXHLevel0 9 3" xfId="4608"/>
    <cellStyle name="SAPBEXHLevel0_Sch-3" xfId="828"/>
    <cellStyle name="SAPBEXHLevel0X" xfId="249"/>
    <cellStyle name="SAPBEXHLevel0X 10" xfId="1399"/>
    <cellStyle name="SAPBEXHLevel0X 10 2" xfId="3128"/>
    <cellStyle name="SAPBEXHLevel0X 10 2 2" xfId="6103"/>
    <cellStyle name="SAPBEXHLevel0X 10 3" xfId="4587"/>
    <cellStyle name="SAPBEXHLevel0X 11" xfId="2754"/>
    <cellStyle name="SAPBEXHLevel0X 11 2" xfId="5743"/>
    <cellStyle name="SAPBEXHLevel0X 2" xfId="842"/>
    <cellStyle name="SAPBEXHLevel0X 2 10" xfId="2786"/>
    <cellStyle name="SAPBEXHLevel0X 2 10 2" xfId="5774"/>
    <cellStyle name="SAPBEXHLevel0X 2 2" xfId="1008"/>
    <cellStyle name="SAPBEXHLevel0X 2 2 2" xfId="1748"/>
    <cellStyle name="SAPBEXHLevel0X 2 2 2 2" xfId="3419"/>
    <cellStyle name="SAPBEXHLevel0X 2 2 2 2 2" xfId="6389"/>
    <cellStyle name="SAPBEXHLevel0X 2 2 2 3" xfId="4825"/>
    <cellStyle name="SAPBEXHLevel0X 2 2 3" xfId="1971"/>
    <cellStyle name="SAPBEXHLevel0X 2 2 3 2" xfId="3623"/>
    <cellStyle name="SAPBEXHLevel0X 2 2 3 2 2" xfId="6589"/>
    <cellStyle name="SAPBEXHLevel0X 2 2 3 3" xfId="5025"/>
    <cellStyle name="SAPBEXHLevel0X 2 2 4" xfId="2187"/>
    <cellStyle name="SAPBEXHLevel0X 2 2 4 2" xfId="3825"/>
    <cellStyle name="SAPBEXHLevel0X 2 2 4 2 2" xfId="6785"/>
    <cellStyle name="SAPBEXHLevel0X 2 2 4 3" xfId="5230"/>
    <cellStyle name="SAPBEXHLevel0X 2 2 5" xfId="2399"/>
    <cellStyle name="SAPBEXHLevel0X 2 2 5 2" xfId="4024"/>
    <cellStyle name="SAPBEXHLevel0X 2 2 5 2 2" xfId="6980"/>
    <cellStyle name="SAPBEXHLevel0X 2 2 5 3" xfId="5432"/>
    <cellStyle name="SAPBEXHLevel0X 2 2 6" xfId="2603"/>
    <cellStyle name="SAPBEXHLevel0X 2 2 6 2" xfId="4169"/>
    <cellStyle name="SAPBEXHLevel0X 2 2 6 2 2" xfId="7124"/>
    <cellStyle name="SAPBEXHLevel0X 2 2 6 3" xfId="5630"/>
    <cellStyle name="SAPBEXHLevel0X 2 2 7" xfId="2900"/>
    <cellStyle name="SAPBEXHLevel0X 2 2 7 2" xfId="5886"/>
    <cellStyle name="SAPBEXHLevel0X 2 2 8" xfId="4385"/>
    <cellStyle name="SAPBEXHLevel0X 2 3" xfId="965"/>
    <cellStyle name="SAPBEXHLevel0X 2 3 2" xfId="1540"/>
    <cellStyle name="SAPBEXHLevel0X 2 3 2 2" xfId="3224"/>
    <cellStyle name="SAPBEXHLevel0X 2 3 2 2 2" xfId="6197"/>
    <cellStyle name="SAPBEXHLevel0X 2 3 2 3" xfId="4685"/>
    <cellStyle name="SAPBEXHLevel0X 2 3 3" xfId="1712"/>
    <cellStyle name="SAPBEXHLevel0X 2 3 3 2" xfId="3385"/>
    <cellStyle name="SAPBEXHLevel0X 2 3 3 2 2" xfId="6355"/>
    <cellStyle name="SAPBEXHLevel0X 2 3 4" xfId="1936"/>
    <cellStyle name="SAPBEXHLevel0X 2 3 4 2" xfId="3590"/>
    <cellStyle name="SAPBEXHLevel0X 2 3 4 2 2" xfId="6556"/>
    <cellStyle name="SAPBEXHLevel0X 2 3 4 3" xfId="4990"/>
    <cellStyle name="SAPBEXHLevel0X 2 3 5" xfId="2153"/>
    <cellStyle name="SAPBEXHLevel0X 2 3 5 2" xfId="3791"/>
    <cellStyle name="SAPBEXHLevel0X 2 3 5 2 2" xfId="6752"/>
    <cellStyle name="SAPBEXHLevel0X 2 3 5 3" xfId="5197"/>
    <cellStyle name="SAPBEXHLevel0X 2 3 6" xfId="2366"/>
    <cellStyle name="SAPBEXHLevel0X 2 3 6 2" xfId="3991"/>
    <cellStyle name="SAPBEXHLevel0X 2 3 6 2 2" xfId="6947"/>
    <cellStyle name="SAPBEXHLevel0X 2 3 6 3" xfId="5399"/>
    <cellStyle name="SAPBEXHLevel0X 2 3 7" xfId="2571"/>
    <cellStyle name="SAPBEXHLevel0X 2 3 7 2" xfId="5598"/>
    <cellStyle name="SAPBEXHLevel0X 2 3 8" xfId="2867"/>
    <cellStyle name="SAPBEXHLevel0X 2 3 8 2" xfId="5854"/>
    <cellStyle name="SAPBEXHLevel0X 2 4" xfId="1060"/>
    <cellStyle name="SAPBEXHLevel0X 2 4 2" xfId="1621"/>
    <cellStyle name="SAPBEXHLevel0X 2 4 2 2" xfId="3302"/>
    <cellStyle name="SAPBEXHLevel0X 2 4 2 2 2" xfId="6273"/>
    <cellStyle name="SAPBEXHLevel0X 2 4 2 3" xfId="4741"/>
    <cellStyle name="SAPBEXHLevel0X 2 4 3" xfId="1800"/>
    <cellStyle name="SAPBEXHLevel0X 2 4 3 2" xfId="3471"/>
    <cellStyle name="SAPBEXHLevel0X 2 4 3 2 2" xfId="6440"/>
    <cellStyle name="SAPBEXHLevel0X 2 4 4" xfId="2023"/>
    <cellStyle name="SAPBEXHLevel0X 2 4 4 2" xfId="3675"/>
    <cellStyle name="SAPBEXHLevel0X 2 4 4 2 2" xfId="6639"/>
    <cellStyle name="SAPBEXHLevel0X 2 4 4 3" xfId="5075"/>
    <cellStyle name="SAPBEXHLevel0X 2 4 5" xfId="2239"/>
    <cellStyle name="SAPBEXHLevel0X 2 4 5 2" xfId="3877"/>
    <cellStyle name="SAPBEXHLevel0X 2 4 5 2 2" xfId="6835"/>
    <cellStyle name="SAPBEXHLevel0X 2 4 5 3" xfId="5280"/>
    <cellStyle name="SAPBEXHLevel0X 2 4 6" xfId="2451"/>
    <cellStyle name="SAPBEXHLevel0X 2 4 6 2" xfId="4076"/>
    <cellStyle name="SAPBEXHLevel0X 2 4 6 2 2" xfId="7031"/>
    <cellStyle name="SAPBEXHLevel0X 2 4 6 3" xfId="5483"/>
    <cellStyle name="SAPBEXHLevel0X 2 4 7" xfId="2655"/>
    <cellStyle name="SAPBEXHLevel0X 2 4 7 2" xfId="5681"/>
    <cellStyle name="SAPBEXHLevel0X 2 4 8" xfId="2952"/>
    <cellStyle name="SAPBEXHLevel0X 2 4 8 2" xfId="5937"/>
    <cellStyle name="SAPBEXHLevel0X 2 5" xfId="1225"/>
    <cellStyle name="SAPBEXHLevel0X 2 5 2" xfId="3057"/>
    <cellStyle name="SAPBEXHLevel0X 2 5 2 2" xfId="6037"/>
    <cellStyle name="SAPBEXHLevel0X 2 5 3" xfId="4496"/>
    <cellStyle name="SAPBEXHLevel0X 2 6" xfId="1841"/>
    <cellStyle name="SAPBEXHLevel0X 2 6 2" xfId="3505"/>
    <cellStyle name="SAPBEXHLevel0X 2 6 2 2" xfId="6473"/>
    <cellStyle name="SAPBEXHLevel0X 2 6 3" xfId="4899"/>
    <cellStyle name="SAPBEXHLevel0X 2 7" xfId="2058"/>
    <cellStyle name="SAPBEXHLevel0X 2 7 2" xfId="3706"/>
    <cellStyle name="SAPBEXHLevel0X 2 7 2 2" xfId="6669"/>
    <cellStyle name="SAPBEXHLevel0X 2 7 3" xfId="5106"/>
    <cellStyle name="SAPBEXHLevel0X 2 8" xfId="2274"/>
    <cellStyle name="SAPBEXHLevel0X 2 8 2" xfId="3908"/>
    <cellStyle name="SAPBEXHLevel0X 2 8 2 2" xfId="6865"/>
    <cellStyle name="SAPBEXHLevel0X 2 8 3" xfId="5311"/>
    <cellStyle name="SAPBEXHLevel0X 2 9" xfId="2483"/>
    <cellStyle name="SAPBEXHLevel0X 2 9 2" xfId="4106"/>
    <cellStyle name="SAPBEXHLevel0X 2 9 2 2" xfId="7061"/>
    <cellStyle name="SAPBEXHLevel0X 2 9 3" xfId="5513"/>
    <cellStyle name="SAPBEXHLevel0X 3" xfId="876"/>
    <cellStyle name="SAPBEXHLevel0X 3 10" xfId="2808"/>
    <cellStyle name="SAPBEXHLevel0X 3 10 2" xfId="5796"/>
    <cellStyle name="SAPBEXHLevel0X 3 2" xfId="1030"/>
    <cellStyle name="SAPBEXHLevel0X 3 2 2" xfId="1770"/>
    <cellStyle name="SAPBEXHLevel0X 3 2 2 2" xfId="3441"/>
    <cellStyle name="SAPBEXHLevel0X 3 2 2 2 2" xfId="6411"/>
    <cellStyle name="SAPBEXHLevel0X 3 2 2 3" xfId="4847"/>
    <cellStyle name="SAPBEXHLevel0X 3 2 3" xfId="1993"/>
    <cellStyle name="SAPBEXHLevel0X 3 2 3 2" xfId="3645"/>
    <cellStyle name="SAPBEXHLevel0X 3 2 3 2 2" xfId="6611"/>
    <cellStyle name="SAPBEXHLevel0X 3 2 3 3" xfId="5047"/>
    <cellStyle name="SAPBEXHLevel0X 3 2 4" xfId="2209"/>
    <cellStyle name="SAPBEXHLevel0X 3 2 4 2" xfId="3847"/>
    <cellStyle name="SAPBEXHLevel0X 3 2 4 2 2" xfId="6807"/>
    <cellStyle name="SAPBEXHLevel0X 3 2 4 3" xfId="5252"/>
    <cellStyle name="SAPBEXHLevel0X 3 2 5" xfId="2421"/>
    <cellStyle name="SAPBEXHLevel0X 3 2 5 2" xfId="4046"/>
    <cellStyle name="SAPBEXHLevel0X 3 2 5 2 2" xfId="7002"/>
    <cellStyle name="SAPBEXHLevel0X 3 2 5 3" xfId="5454"/>
    <cellStyle name="SAPBEXHLevel0X 3 2 6" xfId="2625"/>
    <cellStyle name="SAPBEXHLevel0X 3 2 6 2" xfId="4191"/>
    <cellStyle name="SAPBEXHLevel0X 3 2 6 2 2" xfId="7146"/>
    <cellStyle name="SAPBEXHLevel0X 3 2 6 3" xfId="5652"/>
    <cellStyle name="SAPBEXHLevel0X 3 2 7" xfId="2922"/>
    <cellStyle name="SAPBEXHLevel0X 3 2 7 2" xfId="5908"/>
    <cellStyle name="SAPBEXHLevel0X 3 2 8" xfId="4391"/>
    <cellStyle name="SAPBEXHLevel0X 3 3" xfId="1051"/>
    <cellStyle name="SAPBEXHLevel0X 3 3 2" xfId="1612"/>
    <cellStyle name="SAPBEXHLevel0X 3 3 2 2" xfId="3294"/>
    <cellStyle name="SAPBEXHLevel0X 3 3 2 2 2" xfId="6265"/>
    <cellStyle name="SAPBEXHLevel0X 3 3 2 3" xfId="4733"/>
    <cellStyle name="SAPBEXHLevel0X 3 3 3" xfId="1791"/>
    <cellStyle name="SAPBEXHLevel0X 3 3 3 2" xfId="3462"/>
    <cellStyle name="SAPBEXHLevel0X 3 3 3 2 2" xfId="6431"/>
    <cellStyle name="SAPBEXHLevel0X 3 3 4" xfId="2014"/>
    <cellStyle name="SAPBEXHLevel0X 3 3 4 2" xfId="3666"/>
    <cellStyle name="SAPBEXHLevel0X 3 3 4 2 2" xfId="6630"/>
    <cellStyle name="SAPBEXHLevel0X 3 3 4 3" xfId="5066"/>
    <cellStyle name="SAPBEXHLevel0X 3 3 5" xfId="2230"/>
    <cellStyle name="SAPBEXHLevel0X 3 3 5 2" xfId="3868"/>
    <cellStyle name="SAPBEXHLevel0X 3 3 5 2 2" xfId="6826"/>
    <cellStyle name="SAPBEXHLevel0X 3 3 5 3" xfId="5271"/>
    <cellStyle name="SAPBEXHLevel0X 3 3 6" xfId="2442"/>
    <cellStyle name="SAPBEXHLevel0X 3 3 6 2" xfId="4067"/>
    <cellStyle name="SAPBEXHLevel0X 3 3 6 2 2" xfId="7022"/>
    <cellStyle name="SAPBEXHLevel0X 3 3 6 3" xfId="5474"/>
    <cellStyle name="SAPBEXHLevel0X 3 3 7" xfId="2646"/>
    <cellStyle name="SAPBEXHLevel0X 3 3 7 2" xfId="5672"/>
    <cellStyle name="SAPBEXHLevel0X 3 3 8" xfId="2943"/>
    <cellStyle name="SAPBEXHLevel0X 3 3 8 2" xfId="5928"/>
    <cellStyle name="SAPBEXHLevel0X 3 4" xfId="1082"/>
    <cellStyle name="SAPBEXHLevel0X 3 4 2" xfId="1643"/>
    <cellStyle name="SAPBEXHLevel0X 3 4 2 2" xfId="3324"/>
    <cellStyle name="SAPBEXHLevel0X 3 4 2 2 2" xfId="6295"/>
    <cellStyle name="SAPBEXHLevel0X 3 4 2 3" xfId="4763"/>
    <cellStyle name="SAPBEXHLevel0X 3 4 3" xfId="1822"/>
    <cellStyle name="SAPBEXHLevel0X 3 4 3 2" xfId="3493"/>
    <cellStyle name="SAPBEXHLevel0X 3 4 3 2 2" xfId="6462"/>
    <cellStyle name="SAPBEXHLevel0X 3 4 4" xfId="2045"/>
    <cellStyle name="SAPBEXHLevel0X 3 4 4 2" xfId="3697"/>
    <cellStyle name="SAPBEXHLevel0X 3 4 4 2 2" xfId="6661"/>
    <cellStyle name="SAPBEXHLevel0X 3 4 4 3" xfId="5097"/>
    <cellStyle name="SAPBEXHLevel0X 3 4 5" xfId="2261"/>
    <cellStyle name="SAPBEXHLevel0X 3 4 5 2" xfId="3899"/>
    <cellStyle name="SAPBEXHLevel0X 3 4 5 2 2" xfId="6857"/>
    <cellStyle name="SAPBEXHLevel0X 3 4 5 3" xfId="5302"/>
    <cellStyle name="SAPBEXHLevel0X 3 4 6" xfId="2473"/>
    <cellStyle name="SAPBEXHLevel0X 3 4 6 2" xfId="4098"/>
    <cellStyle name="SAPBEXHLevel0X 3 4 6 2 2" xfId="7053"/>
    <cellStyle name="SAPBEXHLevel0X 3 4 6 3" xfId="5505"/>
    <cellStyle name="SAPBEXHLevel0X 3 4 7" xfId="2677"/>
    <cellStyle name="SAPBEXHLevel0X 3 4 7 2" xfId="5703"/>
    <cellStyle name="SAPBEXHLevel0X 3 4 8" xfId="2974"/>
    <cellStyle name="SAPBEXHLevel0X 3 4 8 2" xfId="5959"/>
    <cellStyle name="SAPBEXHLevel0X 3 5" xfId="181"/>
    <cellStyle name="SAPBEXHLevel0X 3 5 2" xfId="2731"/>
    <cellStyle name="SAPBEXHLevel0X 3 5 2 2" xfId="5721"/>
    <cellStyle name="SAPBEXHLevel0X 3 5 3" xfId="4242"/>
    <cellStyle name="SAPBEXHLevel0X 3 6" xfId="1867"/>
    <cellStyle name="SAPBEXHLevel0X 3 6 2" xfId="3528"/>
    <cellStyle name="SAPBEXHLevel0X 3 6 2 2" xfId="6496"/>
    <cellStyle name="SAPBEXHLevel0X 3 6 3" xfId="4924"/>
    <cellStyle name="SAPBEXHLevel0X 3 7" xfId="2084"/>
    <cellStyle name="SAPBEXHLevel0X 3 7 2" xfId="3729"/>
    <cellStyle name="SAPBEXHLevel0X 3 7 2 2" xfId="6692"/>
    <cellStyle name="SAPBEXHLevel0X 3 7 3" xfId="5131"/>
    <cellStyle name="SAPBEXHLevel0X 3 8" xfId="2300"/>
    <cellStyle name="SAPBEXHLevel0X 3 8 2" xfId="3931"/>
    <cellStyle name="SAPBEXHLevel0X 3 8 2 2" xfId="6888"/>
    <cellStyle name="SAPBEXHLevel0X 3 8 3" xfId="5336"/>
    <cellStyle name="SAPBEXHLevel0X 3 9" xfId="2507"/>
    <cellStyle name="SAPBEXHLevel0X 3 9 2" xfId="4128"/>
    <cellStyle name="SAPBEXHLevel0X 3 9 2 2" xfId="7083"/>
    <cellStyle name="SAPBEXHLevel0X 3 9 3" xfId="5537"/>
    <cellStyle name="SAPBEXHLevel0X 4" xfId="918"/>
    <cellStyle name="SAPBEXHLevel0X 4 2" xfId="1668"/>
    <cellStyle name="SAPBEXHLevel0X 4 2 2" xfId="3344"/>
    <cellStyle name="SAPBEXHLevel0X 4 2 2 2" xfId="6315"/>
    <cellStyle name="SAPBEXHLevel0X 4 2 3" xfId="4785"/>
    <cellStyle name="SAPBEXHLevel0X 4 3" xfId="1895"/>
    <cellStyle name="SAPBEXHLevel0X 4 3 2" xfId="3549"/>
    <cellStyle name="SAPBEXHLevel0X 4 3 2 2" xfId="6516"/>
    <cellStyle name="SAPBEXHLevel0X 4 3 3" xfId="4950"/>
    <cellStyle name="SAPBEXHLevel0X 4 4" xfId="2113"/>
    <cellStyle name="SAPBEXHLevel0X 4 4 2" xfId="3751"/>
    <cellStyle name="SAPBEXHLevel0X 4 4 2 2" xfId="6713"/>
    <cellStyle name="SAPBEXHLevel0X 4 4 3" xfId="5158"/>
    <cellStyle name="SAPBEXHLevel0X 4 5" xfId="2326"/>
    <cellStyle name="SAPBEXHLevel0X 4 5 2" xfId="3951"/>
    <cellStyle name="SAPBEXHLevel0X 4 5 2 2" xfId="6908"/>
    <cellStyle name="SAPBEXHLevel0X 4 5 3" xfId="5360"/>
    <cellStyle name="SAPBEXHLevel0X 4 6" xfId="2531"/>
    <cellStyle name="SAPBEXHLevel0X 4 6 2" xfId="4145"/>
    <cellStyle name="SAPBEXHLevel0X 4 6 2 2" xfId="7100"/>
    <cellStyle name="SAPBEXHLevel0X 4 6 3" xfId="5559"/>
    <cellStyle name="SAPBEXHLevel0X 4 7" xfId="2827"/>
    <cellStyle name="SAPBEXHLevel0X 4 7 2" xfId="5815"/>
    <cellStyle name="SAPBEXHLevel0X 4 8" xfId="4356"/>
    <cellStyle name="SAPBEXHLevel0X 5" xfId="949"/>
    <cellStyle name="SAPBEXHLevel0X 5 2" xfId="1528"/>
    <cellStyle name="SAPBEXHLevel0X 5 2 2" xfId="3213"/>
    <cellStyle name="SAPBEXHLevel0X 5 2 2 2" xfId="6186"/>
    <cellStyle name="SAPBEXHLevel0X 5 2 3" xfId="4674"/>
    <cellStyle name="SAPBEXHLevel0X 5 3" xfId="1699"/>
    <cellStyle name="SAPBEXHLevel0X 5 3 2" xfId="3375"/>
    <cellStyle name="SAPBEXHLevel0X 5 3 2 2" xfId="6345"/>
    <cellStyle name="SAPBEXHLevel0X 5 4" xfId="1926"/>
    <cellStyle name="SAPBEXHLevel0X 5 4 2" xfId="3580"/>
    <cellStyle name="SAPBEXHLevel0X 5 4 2 2" xfId="6546"/>
    <cellStyle name="SAPBEXHLevel0X 5 4 3" xfId="4980"/>
    <cellStyle name="SAPBEXHLevel0X 5 5" xfId="2144"/>
    <cellStyle name="SAPBEXHLevel0X 5 5 2" xfId="3782"/>
    <cellStyle name="SAPBEXHLevel0X 5 5 2 2" xfId="6743"/>
    <cellStyle name="SAPBEXHLevel0X 5 5 3" xfId="5188"/>
    <cellStyle name="SAPBEXHLevel0X 5 6" xfId="2357"/>
    <cellStyle name="SAPBEXHLevel0X 5 6 2" xfId="3982"/>
    <cellStyle name="SAPBEXHLevel0X 5 6 2 2" xfId="6938"/>
    <cellStyle name="SAPBEXHLevel0X 5 6 3" xfId="5390"/>
    <cellStyle name="SAPBEXHLevel0X 5 7" xfId="2562"/>
    <cellStyle name="SAPBEXHLevel0X 5 7 2" xfId="5589"/>
    <cellStyle name="SAPBEXHLevel0X 5 8" xfId="2858"/>
    <cellStyle name="SAPBEXHLevel0X 5 8 2" xfId="5845"/>
    <cellStyle name="SAPBEXHLevel0X 6" xfId="1445"/>
    <cellStyle name="SAPBEXHLevel0X 6 2" xfId="3156"/>
    <cellStyle name="SAPBEXHLevel0X 6 2 2" xfId="6131"/>
    <cellStyle name="SAPBEXHLevel0X 6 3" xfId="4621"/>
    <cellStyle name="SAPBEXHLevel0X 7" xfId="1473"/>
    <cellStyle name="SAPBEXHLevel0X 7 2" xfId="3181"/>
    <cellStyle name="SAPBEXHLevel0X 7 2 2" xfId="6155"/>
    <cellStyle name="SAPBEXHLevel0X 7 3" xfId="4634"/>
    <cellStyle name="SAPBEXHLevel0X 8" xfId="1392"/>
    <cellStyle name="SAPBEXHLevel0X 8 2" xfId="3121"/>
    <cellStyle name="SAPBEXHLevel0X 8 2 2" xfId="6097"/>
    <cellStyle name="SAPBEXHLevel0X 8 3" xfId="4581"/>
    <cellStyle name="SAPBEXHLevel0X 9" xfId="1133"/>
    <cellStyle name="SAPBEXHLevel0X 9 2" xfId="3008"/>
    <cellStyle name="SAPBEXHLevel0X 9 2 2" xfId="5991"/>
    <cellStyle name="SAPBEXHLevel0X 9 3" xfId="4434"/>
    <cellStyle name="SAPBEXHLevel0X_Sch-3" xfId="829"/>
    <cellStyle name="SAPBEXHLevel1" xfId="250"/>
    <cellStyle name="SAPBEXHLevel1 10" xfId="1368"/>
    <cellStyle name="SAPBEXHLevel1 10 2" xfId="3108"/>
    <cellStyle name="SAPBEXHLevel1 10 2 2" xfId="6085"/>
    <cellStyle name="SAPBEXHLevel1 10 3" xfId="4569"/>
    <cellStyle name="SAPBEXHLevel1 11" xfId="2755"/>
    <cellStyle name="SAPBEXHLevel1 11 2" xfId="5744"/>
    <cellStyle name="SAPBEXHLevel1 2" xfId="849"/>
    <cellStyle name="SAPBEXHLevel1 2 10" xfId="2490"/>
    <cellStyle name="SAPBEXHLevel1 2 10 2" xfId="4113"/>
    <cellStyle name="SAPBEXHLevel1 2 10 2 2" xfId="7068"/>
    <cellStyle name="SAPBEXHLevel1 2 10 3" xfId="5520"/>
    <cellStyle name="SAPBEXHLevel1 2 11" xfId="2793"/>
    <cellStyle name="SAPBEXHLevel1 2 11 2" xfId="5781"/>
    <cellStyle name="SAPBEXHLevel1 2 2" xfId="1015"/>
    <cellStyle name="SAPBEXHLevel1 2 2 2" xfId="1581"/>
    <cellStyle name="SAPBEXHLevel1 2 2 2 2" xfId="3264"/>
    <cellStyle name="SAPBEXHLevel1 2 2 2 2 2" xfId="6236"/>
    <cellStyle name="SAPBEXHLevel1 2 2 3" xfId="1755"/>
    <cellStyle name="SAPBEXHLevel1 2 2 3 2" xfId="3426"/>
    <cellStyle name="SAPBEXHLevel1 2 2 3 2 2" xfId="6396"/>
    <cellStyle name="SAPBEXHLevel1 2 2 3 3" xfId="4832"/>
    <cellStyle name="SAPBEXHLevel1 2 2 4" xfId="1978"/>
    <cellStyle name="SAPBEXHLevel1 2 2 4 2" xfId="3630"/>
    <cellStyle name="SAPBEXHLevel1 2 2 4 2 2" xfId="6596"/>
    <cellStyle name="SAPBEXHLevel1 2 2 4 3" xfId="5032"/>
    <cellStyle name="SAPBEXHLevel1 2 2 5" xfId="2194"/>
    <cellStyle name="SAPBEXHLevel1 2 2 5 2" xfId="3832"/>
    <cellStyle name="SAPBEXHLevel1 2 2 5 2 2" xfId="6792"/>
    <cellStyle name="SAPBEXHLevel1 2 2 5 3" xfId="5237"/>
    <cellStyle name="SAPBEXHLevel1 2 2 6" xfId="2406"/>
    <cellStyle name="SAPBEXHLevel1 2 2 6 2" xfId="4031"/>
    <cellStyle name="SAPBEXHLevel1 2 2 6 2 2" xfId="6987"/>
    <cellStyle name="SAPBEXHLevel1 2 2 6 3" xfId="5439"/>
    <cellStyle name="SAPBEXHLevel1 2 2 7" xfId="2610"/>
    <cellStyle name="SAPBEXHLevel1 2 2 7 2" xfId="4176"/>
    <cellStyle name="SAPBEXHLevel1 2 2 7 2 2" xfId="7131"/>
    <cellStyle name="SAPBEXHLevel1 2 2 7 3" xfId="5637"/>
    <cellStyle name="SAPBEXHLevel1 2 2 8" xfId="2907"/>
    <cellStyle name="SAPBEXHLevel1 2 2 8 2" xfId="5893"/>
    <cellStyle name="SAPBEXHLevel1 2 3" xfId="1035"/>
    <cellStyle name="SAPBEXHLevel1 2 3 2" xfId="1597"/>
    <cellStyle name="SAPBEXHLevel1 2 3 2 2" xfId="3279"/>
    <cellStyle name="SAPBEXHLevel1 2 3 2 2 2" xfId="6251"/>
    <cellStyle name="SAPBEXHLevel1 2 3 2 3" xfId="4719"/>
    <cellStyle name="SAPBEXHLevel1 2 3 3" xfId="1775"/>
    <cellStyle name="SAPBEXHLevel1 2 3 3 2" xfId="3446"/>
    <cellStyle name="SAPBEXHLevel1 2 3 3 2 2" xfId="6416"/>
    <cellStyle name="SAPBEXHLevel1 2 3 3 3" xfId="4852"/>
    <cellStyle name="SAPBEXHLevel1 2 3 4" xfId="1998"/>
    <cellStyle name="SAPBEXHLevel1 2 3 4 2" xfId="3650"/>
    <cellStyle name="SAPBEXHLevel1 2 3 4 2 2" xfId="6615"/>
    <cellStyle name="SAPBEXHLevel1 2 3 4 3" xfId="5051"/>
    <cellStyle name="SAPBEXHLevel1 2 3 5" xfId="2214"/>
    <cellStyle name="SAPBEXHLevel1 2 3 5 2" xfId="3852"/>
    <cellStyle name="SAPBEXHLevel1 2 3 5 2 2" xfId="6811"/>
    <cellStyle name="SAPBEXHLevel1 2 3 5 3" xfId="5256"/>
    <cellStyle name="SAPBEXHLevel1 2 3 6" xfId="2426"/>
    <cellStyle name="SAPBEXHLevel1 2 3 6 2" xfId="4051"/>
    <cellStyle name="SAPBEXHLevel1 2 3 6 2 2" xfId="7007"/>
    <cellStyle name="SAPBEXHLevel1 2 3 6 3" xfId="5459"/>
    <cellStyle name="SAPBEXHLevel1 2 3 7" xfId="2630"/>
    <cellStyle name="SAPBEXHLevel1 2 3 7 2" xfId="5657"/>
    <cellStyle name="SAPBEXHLevel1 2 3 8" xfId="2927"/>
    <cellStyle name="SAPBEXHLevel1 2 3 8 2" xfId="5913"/>
    <cellStyle name="SAPBEXHLevel1 2 4" xfId="1067"/>
    <cellStyle name="SAPBEXHLevel1 2 4 2" xfId="1628"/>
    <cellStyle name="SAPBEXHLevel1 2 4 2 2" xfId="3309"/>
    <cellStyle name="SAPBEXHLevel1 2 4 2 2 2" xfId="6280"/>
    <cellStyle name="SAPBEXHLevel1 2 4 2 3" xfId="4748"/>
    <cellStyle name="SAPBEXHLevel1 2 4 3" xfId="1807"/>
    <cellStyle name="SAPBEXHLevel1 2 4 3 2" xfId="3478"/>
    <cellStyle name="SAPBEXHLevel1 2 4 3 2 2" xfId="6447"/>
    <cellStyle name="SAPBEXHLevel1 2 4 3 3" xfId="4873"/>
    <cellStyle name="SAPBEXHLevel1 2 4 4" xfId="2030"/>
    <cellStyle name="SAPBEXHLevel1 2 4 4 2" xfId="3682"/>
    <cellStyle name="SAPBEXHLevel1 2 4 4 2 2" xfId="6646"/>
    <cellStyle name="SAPBEXHLevel1 2 4 4 3" xfId="5082"/>
    <cellStyle name="SAPBEXHLevel1 2 4 5" xfId="2246"/>
    <cellStyle name="SAPBEXHLevel1 2 4 5 2" xfId="3884"/>
    <cellStyle name="SAPBEXHLevel1 2 4 5 2 2" xfId="6842"/>
    <cellStyle name="SAPBEXHLevel1 2 4 5 3" xfId="5287"/>
    <cellStyle name="SAPBEXHLevel1 2 4 6" xfId="2458"/>
    <cellStyle name="SAPBEXHLevel1 2 4 6 2" xfId="4083"/>
    <cellStyle name="SAPBEXHLevel1 2 4 6 2 2" xfId="7038"/>
    <cellStyle name="SAPBEXHLevel1 2 4 6 3" xfId="5490"/>
    <cellStyle name="SAPBEXHLevel1 2 4 7" xfId="2662"/>
    <cellStyle name="SAPBEXHLevel1 2 4 7 2" xfId="5688"/>
    <cellStyle name="SAPBEXHLevel1 2 4 8" xfId="2959"/>
    <cellStyle name="SAPBEXHLevel1 2 4 8 2" xfId="5944"/>
    <cellStyle name="SAPBEXHLevel1 2 5" xfId="1464"/>
    <cellStyle name="SAPBEXHLevel1 2 5 2" xfId="3172"/>
    <cellStyle name="SAPBEXHLevel1 2 5 2 2" xfId="6146"/>
    <cellStyle name="SAPBEXHLevel1 2 6" xfId="1099"/>
    <cellStyle name="SAPBEXHLevel1 2 6 2" xfId="2988"/>
    <cellStyle name="SAPBEXHLevel1 2 6 2 2" xfId="5973"/>
    <cellStyle name="SAPBEXHLevel1 2 6 3" xfId="4409"/>
    <cellStyle name="SAPBEXHLevel1 2 7" xfId="1848"/>
    <cellStyle name="SAPBEXHLevel1 2 7 2" xfId="3512"/>
    <cellStyle name="SAPBEXHLevel1 2 7 2 2" xfId="6480"/>
    <cellStyle name="SAPBEXHLevel1 2 7 3" xfId="4906"/>
    <cellStyle name="SAPBEXHLevel1 2 8" xfId="2065"/>
    <cellStyle name="SAPBEXHLevel1 2 8 2" xfId="3713"/>
    <cellStyle name="SAPBEXHLevel1 2 8 2 2" xfId="6676"/>
    <cellStyle name="SAPBEXHLevel1 2 8 3" xfId="5113"/>
    <cellStyle name="SAPBEXHLevel1 2 9" xfId="2281"/>
    <cellStyle name="SAPBEXHLevel1 2 9 2" xfId="3915"/>
    <cellStyle name="SAPBEXHLevel1 2 9 2 2" xfId="6872"/>
    <cellStyle name="SAPBEXHLevel1 2 9 3" xfId="5318"/>
    <cellStyle name="SAPBEXHLevel1 3" xfId="869"/>
    <cellStyle name="SAPBEXHLevel1 3 10" xfId="2503"/>
    <cellStyle name="SAPBEXHLevel1 3 10 2" xfId="4124"/>
    <cellStyle name="SAPBEXHLevel1 3 10 2 2" xfId="7079"/>
    <cellStyle name="SAPBEXHLevel1 3 10 3" xfId="5533"/>
    <cellStyle name="SAPBEXHLevel1 3 11" xfId="2804"/>
    <cellStyle name="SAPBEXHLevel1 3 11 2" xfId="5792"/>
    <cellStyle name="SAPBEXHLevel1 3 2" xfId="1027"/>
    <cellStyle name="SAPBEXHLevel1 3 2 2" xfId="1591"/>
    <cellStyle name="SAPBEXHLevel1 3 2 2 2" xfId="3274"/>
    <cellStyle name="SAPBEXHLevel1 3 2 2 2 2" xfId="6246"/>
    <cellStyle name="SAPBEXHLevel1 3 2 3" xfId="1767"/>
    <cellStyle name="SAPBEXHLevel1 3 2 3 2" xfId="3438"/>
    <cellStyle name="SAPBEXHLevel1 3 2 3 2 2" xfId="6408"/>
    <cellStyle name="SAPBEXHLevel1 3 2 3 3" xfId="4844"/>
    <cellStyle name="SAPBEXHLevel1 3 2 4" xfId="1990"/>
    <cellStyle name="SAPBEXHLevel1 3 2 4 2" xfId="3642"/>
    <cellStyle name="SAPBEXHLevel1 3 2 4 2 2" xfId="6608"/>
    <cellStyle name="SAPBEXHLevel1 3 2 4 3" xfId="5044"/>
    <cellStyle name="SAPBEXHLevel1 3 2 5" xfId="2206"/>
    <cellStyle name="SAPBEXHLevel1 3 2 5 2" xfId="3844"/>
    <cellStyle name="SAPBEXHLevel1 3 2 5 2 2" xfId="6804"/>
    <cellStyle name="SAPBEXHLevel1 3 2 5 3" xfId="5249"/>
    <cellStyle name="SAPBEXHLevel1 3 2 6" xfId="2418"/>
    <cellStyle name="SAPBEXHLevel1 3 2 6 2" xfId="4043"/>
    <cellStyle name="SAPBEXHLevel1 3 2 6 2 2" xfId="6999"/>
    <cellStyle name="SAPBEXHLevel1 3 2 6 3" xfId="5451"/>
    <cellStyle name="SAPBEXHLevel1 3 2 7" xfId="2622"/>
    <cellStyle name="SAPBEXHLevel1 3 2 7 2" xfId="4188"/>
    <cellStyle name="SAPBEXHLevel1 3 2 7 2 2" xfId="7143"/>
    <cellStyle name="SAPBEXHLevel1 3 2 7 3" xfId="5649"/>
    <cellStyle name="SAPBEXHLevel1 3 2 8" xfId="2919"/>
    <cellStyle name="SAPBEXHLevel1 3 2 8 2" xfId="5905"/>
    <cellStyle name="SAPBEXHLevel1 3 3" xfId="1047"/>
    <cellStyle name="SAPBEXHLevel1 3 3 2" xfId="1609"/>
    <cellStyle name="SAPBEXHLevel1 3 3 2 2" xfId="3291"/>
    <cellStyle name="SAPBEXHLevel1 3 3 2 2 2" xfId="6262"/>
    <cellStyle name="SAPBEXHLevel1 3 3 2 3" xfId="4730"/>
    <cellStyle name="SAPBEXHLevel1 3 3 3" xfId="1787"/>
    <cellStyle name="SAPBEXHLevel1 3 3 3 2" xfId="3458"/>
    <cellStyle name="SAPBEXHLevel1 3 3 3 2 2" xfId="6427"/>
    <cellStyle name="SAPBEXHLevel1 3 3 3 3" xfId="4862"/>
    <cellStyle name="SAPBEXHLevel1 3 3 4" xfId="2010"/>
    <cellStyle name="SAPBEXHLevel1 3 3 4 2" xfId="3662"/>
    <cellStyle name="SAPBEXHLevel1 3 3 4 2 2" xfId="6626"/>
    <cellStyle name="SAPBEXHLevel1 3 3 4 3" xfId="5062"/>
    <cellStyle name="SAPBEXHLevel1 3 3 5" xfId="2226"/>
    <cellStyle name="SAPBEXHLevel1 3 3 5 2" xfId="3864"/>
    <cellStyle name="SAPBEXHLevel1 3 3 5 2 2" xfId="6822"/>
    <cellStyle name="SAPBEXHLevel1 3 3 5 3" xfId="5267"/>
    <cellStyle name="SAPBEXHLevel1 3 3 6" xfId="2438"/>
    <cellStyle name="SAPBEXHLevel1 3 3 6 2" xfId="4063"/>
    <cellStyle name="SAPBEXHLevel1 3 3 6 2 2" xfId="7018"/>
    <cellStyle name="SAPBEXHLevel1 3 3 6 3" xfId="5470"/>
    <cellStyle name="SAPBEXHLevel1 3 3 7" xfId="2642"/>
    <cellStyle name="SAPBEXHLevel1 3 3 7 2" xfId="5668"/>
    <cellStyle name="SAPBEXHLevel1 3 3 8" xfId="2939"/>
    <cellStyle name="SAPBEXHLevel1 3 3 8 2" xfId="5924"/>
    <cellStyle name="SAPBEXHLevel1 3 4" xfId="1078"/>
    <cellStyle name="SAPBEXHLevel1 3 4 2" xfId="1639"/>
    <cellStyle name="SAPBEXHLevel1 3 4 2 2" xfId="3320"/>
    <cellStyle name="SAPBEXHLevel1 3 4 2 2 2" xfId="6291"/>
    <cellStyle name="SAPBEXHLevel1 3 4 2 3" xfId="4759"/>
    <cellStyle name="SAPBEXHLevel1 3 4 3" xfId="1818"/>
    <cellStyle name="SAPBEXHLevel1 3 4 3 2" xfId="3489"/>
    <cellStyle name="SAPBEXHLevel1 3 4 3 2 2" xfId="6458"/>
    <cellStyle name="SAPBEXHLevel1 3 4 3 3" xfId="4883"/>
    <cellStyle name="SAPBEXHLevel1 3 4 4" xfId="2041"/>
    <cellStyle name="SAPBEXHLevel1 3 4 4 2" xfId="3693"/>
    <cellStyle name="SAPBEXHLevel1 3 4 4 2 2" xfId="6657"/>
    <cellStyle name="SAPBEXHLevel1 3 4 4 3" xfId="5093"/>
    <cellStyle name="SAPBEXHLevel1 3 4 5" xfId="2257"/>
    <cellStyle name="SAPBEXHLevel1 3 4 5 2" xfId="3895"/>
    <cellStyle name="SAPBEXHLevel1 3 4 5 2 2" xfId="6853"/>
    <cellStyle name="SAPBEXHLevel1 3 4 5 3" xfId="5298"/>
    <cellStyle name="SAPBEXHLevel1 3 4 6" xfId="2469"/>
    <cellStyle name="SAPBEXHLevel1 3 4 6 2" xfId="4094"/>
    <cellStyle name="SAPBEXHLevel1 3 4 6 2 2" xfId="7049"/>
    <cellStyle name="SAPBEXHLevel1 3 4 6 3" xfId="5501"/>
    <cellStyle name="SAPBEXHLevel1 3 4 7" xfId="2673"/>
    <cellStyle name="SAPBEXHLevel1 3 4 7 2" xfId="5699"/>
    <cellStyle name="SAPBEXHLevel1 3 4 8" xfId="2970"/>
    <cellStyle name="SAPBEXHLevel1 3 4 8 2" xfId="5955"/>
    <cellStyle name="SAPBEXHLevel1 3 5" xfId="1482"/>
    <cellStyle name="SAPBEXHLevel1 3 5 2" xfId="3186"/>
    <cellStyle name="SAPBEXHLevel1 3 5 2 2" xfId="6160"/>
    <cellStyle name="SAPBEXHLevel1 3 6" xfId="1084"/>
    <cellStyle name="SAPBEXHLevel1 3 6 2" xfId="2976"/>
    <cellStyle name="SAPBEXHLevel1 3 6 2 2" xfId="5961"/>
    <cellStyle name="SAPBEXHLevel1 3 6 3" xfId="4395"/>
    <cellStyle name="SAPBEXHLevel1 3 7" xfId="1862"/>
    <cellStyle name="SAPBEXHLevel1 3 7 2" xfId="3523"/>
    <cellStyle name="SAPBEXHLevel1 3 7 2 2" xfId="6491"/>
    <cellStyle name="SAPBEXHLevel1 3 7 3" xfId="4919"/>
    <cellStyle name="SAPBEXHLevel1 3 8" xfId="2079"/>
    <cellStyle name="SAPBEXHLevel1 3 8 2" xfId="3724"/>
    <cellStyle name="SAPBEXHLevel1 3 8 2 2" xfId="6687"/>
    <cellStyle name="SAPBEXHLevel1 3 8 3" xfId="5126"/>
    <cellStyle name="SAPBEXHLevel1 3 9" xfId="2295"/>
    <cellStyle name="SAPBEXHLevel1 3 9 2" xfId="3926"/>
    <cellStyle name="SAPBEXHLevel1 3 9 2 2" xfId="6883"/>
    <cellStyle name="SAPBEXHLevel1 3 9 3" xfId="5331"/>
    <cellStyle name="SAPBEXHLevel1 4" xfId="917"/>
    <cellStyle name="SAPBEXHLevel1 4 2" xfId="1667"/>
    <cellStyle name="SAPBEXHLevel1 4 2 2" xfId="3343"/>
    <cellStyle name="SAPBEXHLevel1 4 2 2 2" xfId="6314"/>
    <cellStyle name="SAPBEXHLevel1 4 2 3" xfId="4784"/>
    <cellStyle name="SAPBEXHLevel1 4 3" xfId="1894"/>
    <cellStyle name="SAPBEXHLevel1 4 3 2" xfId="3548"/>
    <cellStyle name="SAPBEXHLevel1 4 3 2 2" xfId="6515"/>
    <cellStyle name="SAPBEXHLevel1 4 3 3" xfId="4949"/>
    <cellStyle name="SAPBEXHLevel1 4 4" xfId="2112"/>
    <cellStyle name="SAPBEXHLevel1 4 4 2" xfId="3750"/>
    <cellStyle name="SAPBEXHLevel1 4 4 2 2" xfId="6712"/>
    <cellStyle name="SAPBEXHLevel1 4 4 3" xfId="5157"/>
    <cellStyle name="SAPBEXHLevel1 4 5" xfId="2325"/>
    <cellStyle name="SAPBEXHLevel1 4 5 2" xfId="3950"/>
    <cellStyle name="SAPBEXHLevel1 4 5 2 2" xfId="6907"/>
    <cellStyle name="SAPBEXHLevel1 4 5 3" xfId="5359"/>
    <cellStyle name="SAPBEXHLevel1 4 6" xfId="2530"/>
    <cellStyle name="SAPBEXHLevel1 4 6 2" xfId="4144"/>
    <cellStyle name="SAPBEXHLevel1 4 6 2 2" xfId="7099"/>
    <cellStyle name="SAPBEXHLevel1 4 6 3" xfId="5558"/>
    <cellStyle name="SAPBEXHLevel1 4 7" xfId="2826"/>
    <cellStyle name="SAPBEXHLevel1 4 7 2" xfId="5814"/>
    <cellStyle name="SAPBEXHLevel1 4 8" xfId="4355"/>
    <cellStyle name="SAPBEXHLevel1 5" xfId="979"/>
    <cellStyle name="SAPBEXHLevel1 5 2" xfId="1550"/>
    <cellStyle name="SAPBEXHLevel1 5 2 2" xfId="3233"/>
    <cellStyle name="SAPBEXHLevel1 5 2 2 2" xfId="6205"/>
    <cellStyle name="SAPBEXHLevel1 5 2 3" xfId="4692"/>
    <cellStyle name="SAPBEXHLevel1 5 3" xfId="1721"/>
    <cellStyle name="SAPBEXHLevel1 5 3 2" xfId="3392"/>
    <cellStyle name="SAPBEXHLevel1 5 3 2 2" xfId="6362"/>
    <cellStyle name="SAPBEXHLevel1 5 4" xfId="1945"/>
    <cellStyle name="SAPBEXHLevel1 5 4 2" xfId="3597"/>
    <cellStyle name="SAPBEXHLevel1 5 4 2 2" xfId="6563"/>
    <cellStyle name="SAPBEXHLevel1 5 4 3" xfId="4999"/>
    <cellStyle name="SAPBEXHLevel1 5 5" xfId="2161"/>
    <cellStyle name="SAPBEXHLevel1 5 5 2" xfId="3799"/>
    <cellStyle name="SAPBEXHLevel1 5 5 2 2" xfId="6759"/>
    <cellStyle name="SAPBEXHLevel1 5 5 3" xfId="5204"/>
    <cellStyle name="SAPBEXHLevel1 5 6" xfId="2373"/>
    <cellStyle name="SAPBEXHLevel1 5 6 2" xfId="3998"/>
    <cellStyle name="SAPBEXHLevel1 5 6 2 2" xfId="6954"/>
    <cellStyle name="SAPBEXHLevel1 5 6 3" xfId="5406"/>
    <cellStyle name="SAPBEXHLevel1 5 7" xfId="2578"/>
    <cellStyle name="SAPBEXHLevel1 5 7 2" xfId="5605"/>
    <cellStyle name="SAPBEXHLevel1 5 8" xfId="2875"/>
    <cellStyle name="SAPBEXHLevel1 5 8 2" xfId="5861"/>
    <cellStyle name="SAPBEXHLevel1 6" xfId="1444"/>
    <cellStyle name="SAPBEXHLevel1 6 2" xfId="3155"/>
    <cellStyle name="SAPBEXHLevel1 6 2 2" xfId="6130"/>
    <cellStyle name="SAPBEXHLevel1 6 3" xfId="4620"/>
    <cellStyle name="SAPBEXHLevel1 7" xfId="1266"/>
    <cellStyle name="SAPBEXHLevel1 7 2" xfId="3082"/>
    <cellStyle name="SAPBEXHLevel1 7 2 2" xfId="6060"/>
    <cellStyle name="SAPBEXHLevel1 7 3" xfId="4527"/>
    <cellStyle name="SAPBEXHLevel1 8" xfId="1391"/>
    <cellStyle name="SAPBEXHLevel1 8 2" xfId="3120"/>
    <cellStyle name="SAPBEXHLevel1 8 2 2" xfId="6096"/>
    <cellStyle name="SAPBEXHLevel1 8 3" xfId="4580"/>
    <cellStyle name="SAPBEXHLevel1 9" xfId="1134"/>
    <cellStyle name="SAPBEXHLevel1 9 2" xfId="3009"/>
    <cellStyle name="SAPBEXHLevel1 9 2 2" xfId="5992"/>
    <cellStyle name="SAPBEXHLevel1 9 3" xfId="4435"/>
    <cellStyle name="SAPBEXHLevel1_Sch-3" xfId="830"/>
    <cellStyle name="SAPBEXHLevel1X" xfId="251"/>
    <cellStyle name="SAPBEXHLevel1X 10" xfId="1367"/>
    <cellStyle name="SAPBEXHLevel1X 10 2" xfId="3107"/>
    <cellStyle name="SAPBEXHLevel1X 10 2 2" xfId="6084"/>
    <cellStyle name="SAPBEXHLevel1X 10 3" xfId="4568"/>
    <cellStyle name="SAPBEXHLevel1X 11" xfId="2756"/>
    <cellStyle name="SAPBEXHLevel1X 11 2" xfId="5745"/>
    <cellStyle name="SAPBEXHLevel1X 2" xfId="843"/>
    <cellStyle name="SAPBEXHLevel1X 2 10" xfId="2787"/>
    <cellStyle name="SAPBEXHLevel1X 2 10 2" xfId="5775"/>
    <cellStyle name="SAPBEXHLevel1X 2 2" xfId="1009"/>
    <cellStyle name="SAPBEXHLevel1X 2 2 2" xfId="1749"/>
    <cellStyle name="SAPBEXHLevel1X 2 2 2 2" xfId="3420"/>
    <cellStyle name="SAPBEXHLevel1X 2 2 2 2 2" xfId="6390"/>
    <cellStyle name="SAPBEXHLevel1X 2 2 2 3" xfId="4826"/>
    <cellStyle name="SAPBEXHLevel1X 2 2 3" xfId="1972"/>
    <cellStyle name="SAPBEXHLevel1X 2 2 3 2" xfId="3624"/>
    <cellStyle name="SAPBEXHLevel1X 2 2 3 2 2" xfId="6590"/>
    <cellStyle name="SAPBEXHLevel1X 2 2 3 3" xfId="5026"/>
    <cellStyle name="SAPBEXHLevel1X 2 2 4" xfId="2188"/>
    <cellStyle name="SAPBEXHLevel1X 2 2 4 2" xfId="3826"/>
    <cellStyle name="SAPBEXHLevel1X 2 2 4 2 2" xfId="6786"/>
    <cellStyle name="SAPBEXHLevel1X 2 2 4 3" xfId="5231"/>
    <cellStyle name="SAPBEXHLevel1X 2 2 5" xfId="2400"/>
    <cellStyle name="SAPBEXHLevel1X 2 2 5 2" xfId="4025"/>
    <cellStyle name="SAPBEXHLevel1X 2 2 5 2 2" xfId="6981"/>
    <cellStyle name="SAPBEXHLevel1X 2 2 5 3" xfId="5433"/>
    <cellStyle name="SAPBEXHLevel1X 2 2 6" xfId="2604"/>
    <cellStyle name="SAPBEXHLevel1X 2 2 6 2" xfId="4170"/>
    <cellStyle name="SAPBEXHLevel1X 2 2 6 2 2" xfId="7125"/>
    <cellStyle name="SAPBEXHLevel1X 2 2 6 3" xfId="5631"/>
    <cellStyle name="SAPBEXHLevel1X 2 2 7" xfId="2901"/>
    <cellStyle name="SAPBEXHLevel1X 2 2 7 2" xfId="5887"/>
    <cellStyle name="SAPBEXHLevel1X 2 2 8" xfId="4386"/>
    <cellStyle name="SAPBEXHLevel1X 2 3" xfId="964"/>
    <cellStyle name="SAPBEXHLevel1X 2 3 2" xfId="1539"/>
    <cellStyle name="SAPBEXHLevel1X 2 3 2 2" xfId="3223"/>
    <cellStyle name="SAPBEXHLevel1X 2 3 2 2 2" xfId="6196"/>
    <cellStyle name="SAPBEXHLevel1X 2 3 2 3" xfId="4684"/>
    <cellStyle name="SAPBEXHLevel1X 2 3 3" xfId="1711"/>
    <cellStyle name="SAPBEXHLevel1X 2 3 3 2" xfId="3384"/>
    <cellStyle name="SAPBEXHLevel1X 2 3 3 2 2" xfId="6354"/>
    <cellStyle name="SAPBEXHLevel1X 2 3 4" xfId="1935"/>
    <cellStyle name="SAPBEXHLevel1X 2 3 4 2" xfId="3589"/>
    <cellStyle name="SAPBEXHLevel1X 2 3 4 2 2" xfId="6555"/>
    <cellStyle name="SAPBEXHLevel1X 2 3 4 3" xfId="4989"/>
    <cellStyle name="SAPBEXHLevel1X 2 3 5" xfId="2152"/>
    <cellStyle name="SAPBEXHLevel1X 2 3 5 2" xfId="3790"/>
    <cellStyle name="SAPBEXHLevel1X 2 3 5 2 2" xfId="6751"/>
    <cellStyle name="SAPBEXHLevel1X 2 3 5 3" xfId="5196"/>
    <cellStyle name="SAPBEXHLevel1X 2 3 6" xfId="2365"/>
    <cellStyle name="SAPBEXHLevel1X 2 3 6 2" xfId="3990"/>
    <cellStyle name="SAPBEXHLevel1X 2 3 6 2 2" xfId="6946"/>
    <cellStyle name="SAPBEXHLevel1X 2 3 6 3" xfId="5398"/>
    <cellStyle name="SAPBEXHLevel1X 2 3 7" xfId="2570"/>
    <cellStyle name="SAPBEXHLevel1X 2 3 7 2" xfId="5597"/>
    <cellStyle name="SAPBEXHLevel1X 2 3 8" xfId="2866"/>
    <cellStyle name="SAPBEXHLevel1X 2 3 8 2" xfId="5853"/>
    <cellStyle name="SAPBEXHLevel1X 2 4" xfId="1061"/>
    <cellStyle name="SAPBEXHLevel1X 2 4 2" xfId="1622"/>
    <cellStyle name="SAPBEXHLevel1X 2 4 2 2" xfId="3303"/>
    <cellStyle name="SAPBEXHLevel1X 2 4 2 2 2" xfId="6274"/>
    <cellStyle name="SAPBEXHLevel1X 2 4 2 3" xfId="4742"/>
    <cellStyle name="SAPBEXHLevel1X 2 4 3" xfId="1801"/>
    <cellStyle name="SAPBEXHLevel1X 2 4 3 2" xfId="3472"/>
    <cellStyle name="SAPBEXHLevel1X 2 4 3 2 2" xfId="6441"/>
    <cellStyle name="SAPBEXHLevel1X 2 4 4" xfId="2024"/>
    <cellStyle name="SAPBEXHLevel1X 2 4 4 2" xfId="3676"/>
    <cellStyle name="SAPBEXHLevel1X 2 4 4 2 2" xfId="6640"/>
    <cellStyle name="SAPBEXHLevel1X 2 4 4 3" xfId="5076"/>
    <cellStyle name="SAPBEXHLevel1X 2 4 5" xfId="2240"/>
    <cellStyle name="SAPBEXHLevel1X 2 4 5 2" xfId="3878"/>
    <cellStyle name="SAPBEXHLevel1X 2 4 5 2 2" xfId="6836"/>
    <cellStyle name="SAPBEXHLevel1X 2 4 5 3" xfId="5281"/>
    <cellStyle name="SAPBEXHLevel1X 2 4 6" xfId="2452"/>
    <cellStyle name="SAPBEXHLevel1X 2 4 6 2" xfId="4077"/>
    <cellStyle name="SAPBEXHLevel1X 2 4 6 2 2" xfId="7032"/>
    <cellStyle name="SAPBEXHLevel1X 2 4 6 3" xfId="5484"/>
    <cellStyle name="SAPBEXHLevel1X 2 4 7" xfId="2656"/>
    <cellStyle name="SAPBEXHLevel1X 2 4 7 2" xfId="5682"/>
    <cellStyle name="SAPBEXHLevel1X 2 4 8" xfId="2953"/>
    <cellStyle name="SAPBEXHLevel1X 2 4 8 2" xfId="5938"/>
    <cellStyle name="SAPBEXHLevel1X 2 5" xfId="1224"/>
    <cellStyle name="SAPBEXHLevel1X 2 5 2" xfId="3056"/>
    <cellStyle name="SAPBEXHLevel1X 2 5 2 2" xfId="6036"/>
    <cellStyle name="SAPBEXHLevel1X 2 5 3" xfId="4495"/>
    <cellStyle name="SAPBEXHLevel1X 2 6" xfId="1842"/>
    <cellStyle name="SAPBEXHLevel1X 2 6 2" xfId="3506"/>
    <cellStyle name="SAPBEXHLevel1X 2 6 2 2" xfId="6474"/>
    <cellStyle name="SAPBEXHLevel1X 2 6 3" xfId="4900"/>
    <cellStyle name="SAPBEXHLevel1X 2 7" xfId="2059"/>
    <cellStyle name="SAPBEXHLevel1X 2 7 2" xfId="3707"/>
    <cellStyle name="SAPBEXHLevel1X 2 7 2 2" xfId="6670"/>
    <cellStyle name="SAPBEXHLevel1X 2 7 3" xfId="5107"/>
    <cellStyle name="SAPBEXHLevel1X 2 8" xfId="2275"/>
    <cellStyle name="SAPBEXHLevel1X 2 8 2" xfId="3909"/>
    <cellStyle name="SAPBEXHLevel1X 2 8 2 2" xfId="6866"/>
    <cellStyle name="SAPBEXHLevel1X 2 8 3" xfId="5312"/>
    <cellStyle name="SAPBEXHLevel1X 2 9" xfId="2484"/>
    <cellStyle name="SAPBEXHLevel1X 2 9 2" xfId="4107"/>
    <cellStyle name="SAPBEXHLevel1X 2 9 2 2" xfId="7062"/>
    <cellStyle name="SAPBEXHLevel1X 2 9 3" xfId="5514"/>
    <cellStyle name="SAPBEXHLevel1X 3" xfId="858"/>
    <cellStyle name="SAPBEXHLevel1X 3 10" xfId="2800"/>
    <cellStyle name="SAPBEXHLevel1X 3 10 2" xfId="5788"/>
    <cellStyle name="SAPBEXHLevel1X 3 2" xfId="1022"/>
    <cellStyle name="SAPBEXHLevel1X 3 2 2" xfId="1762"/>
    <cellStyle name="SAPBEXHLevel1X 3 2 2 2" xfId="3433"/>
    <cellStyle name="SAPBEXHLevel1X 3 2 2 2 2" xfId="6403"/>
    <cellStyle name="SAPBEXHLevel1X 3 2 2 3" xfId="4839"/>
    <cellStyle name="SAPBEXHLevel1X 3 2 3" xfId="1985"/>
    <cellStyle name="SAPBEXHLevel1X 3 2 3 2" xfId="3637"/>
    <cellStyle name="SAPBEXHLevel1X 3 2 3 2 2" xfId="6603"/>
    <cellStyle name="SAPBEXHLevel1X 3 2 3 3" xfId="5039"/>
    <cellStyle name="SAPBEXHLevel1X 3 2 4" xfId="2201"/>
    <cellStyle name="SAPBEXHLevel1X 3 2 4 2" xfId="3839"/>
    <cellStyle name="SAPBEXHLevel1X 3 2 4 2 2" xfId="6799"/>
    <cellStyle name="SAPBEXHLevel1X 3 2 4 3" xfId="5244"/>
    <cellStyle name="SAPBEXHLevel1X 3 2 5" xfId="2413"/>
    <cellStyle name="SAPBEXHLevel1X 3 2 5 2" xfId="4038"/>
    <cellStyle name="SAPBEXHLevel1X 3 2 5 2 2" xfId="6994"/>
    <cellStyle name="SAPBEXHLevel1X 3 2 5 3" xfId="5446"/>
    <cellStyle name="SAPBEXHLevel1X 3 2 6" xfId="2617"/>
    <cellStyle name="SAPBEXHLevel1X 3 2 6 2" xfId="4183"/>
    <cellStyle name="SAPBEXHLevel1X 3 2 6 2 2" xfId="7138"/>
    <cellStyle name="SAPBEXHLevel1X 3 2 6 3" xfId="5644"/>
    <cellStyle name="SAPBEXHLevel1X 3 2 7" xfId="2914"/>
    <cellStyle name="SAPBEXHLevel1X 3 2 7 2" xfId="5900"/>
    <cellStyle name="SAPBEXHLevel1X 3 2 8" xfId="4388"/>
    <cellStyle name="SAPBEXHLevel1X 3 3" xfId="1042"/>
    <cellStyle name="SAPBEXHLevel1X 3 3 2" xfId="1604"/>
    <cellStyle name="SAPBEXHLevel1X 3 3 2 2" xfId="3286"/>
    <cellStyle name="SAPBEXHLevel1X 3 3 2 2 2" xfId="6258"/>
    <cellStyle name="SAPBEXHLevel1X 3 3 2 3" xfId="4726"/>
    <cellStyle name="SAPBEXHLevel1X 3 3 3" xfId="1782"/>
    <cellStyle name="SAPBEXHLevel1X 3 3 3 2" xfId="3453"/>
    <cellStyle name="SAPBEXHLevel1X 3 3 3 2 2" xfId="6423"/>
    <cellStyle name="SAPBEXHLevel1X 3 3 4" xfId="2005"/>
    <cellStyle name="SAPBEXHLevel1X 3 3 4 2" xfId="3657"/>
    <cellStyle name="SAPBEXHLevel1X 3 3 4 2 2" xfId="6622"/>
    <cellStyle name="SAPBEXHLevel1X 3 3 4 3" xfId="5058"/>
    <cellStyle name="SAPBEXHLevel1X 3 3 5" xfId="2221"/>
    <cellStyle name="SAPBEXHLevel1X 3 3 5 2" xfId="3859"/>
    <cellStyle name="SAPBEXHLevel1X 3 3 5 2 2" xfId="6818"/>
    <cellStyle name="SAPBEXHLevel1X 3 3 5 3" xfId="5263"/>
    <cellStyle name="SAPBEXHLevel1X 3 3 6" xfId="2433"/>
    <cellStyle name="SAPBEXHLevel1X 3 3 6 2" xfId="4058"/>
    <cellStyle name="SAPBEXHLevel1X 3 3 6 2 2" xfId="7014"/>
    <cellStyle name="SAPBEXHLevel1X 3 3 6 3" xfId="5466"/>
    <cellStyle name="SAPBEXHLevel1X 3 3 7" xfId="2637"/>
    <cellStyle name="SAPBEXHLevel1X 3 3 7 2" xfId="5664"/>
    <cellStyle name="SAPBEXHLevel1X 3 3 8" xfId="2934"/>
    <cellStyle name="SAPBEXHLevel1X 3 3 8 2" xfId="5920"/>
    <cellStyle name="SAPBEXHLevel1X 3 4" xfId="1074"/>
    <cellStyle name="SAPBEXHLevel1X 3 4 2" xfId="1635"/>
    <cellStyle name="SAPBEXHLevel1X 3 4 2 2" xfId="3316"/>
    <cellStyle name="SAPBEXHLevel1X 3 4 2 2 2" xfId="6287"/>
    <cellStyle name="SAPBEXHLevel1X 3 4 2 3" xfId="4755"/>
    <cellStyle name="SAPBEXHLevel1X 3 4 3" xfId="1814"/>
    <cellStyle name="SAPBEXHLevel1X 3 4 3 2" xfId="3485"/>
    <cellStyle name="SAPBEXHLevel1X 3 4 3 2 2" xfId="6454"/>
    <cellStyle name="SAPBEXHLevel1X 3 4 4" xfId="2037"/>
    <cellStyle name="SAPBEXHLevel1X 3 4 4 2" xfId="3689"/>
    <cellStyle name="SAPBEXHLevel1X 3 4 4 2 2" xfId="6653"/>
    <cellStyle name="SAPBEXHLevel1X 3 4 4 3" xfId="5089"/>
    <cellStyle name="SAPBEXHLevel1X 3 4 5" xfId="2253"/>
    <cellStyle name="SAPBEXHLevel1X 3 4 5 2" xfId="3891"/>
    <cellStyle name="SAPBEXHLevel1X 3 4 5 2 2" xfId="6849"/>
    <cellStyle name="SAPBEXHLevel1X 3 4 5 3" xfId="5294"/>
    <cellStyle name="SAPBEXHLevel1X 3 4 6" xfId="2465"/>
    <cellStyle name="SAPBEXHLevel1X 3 4 6 2" xfId="4090"/>
    <cellStyle name="SAPBEXHLevel1X 3 4 6 2 2" xfId="7045"/>
    <cellStyle name="SAPBEXHLevel1X 3 4 6 3" xfId="5497"/>
    <cellStyle name="SAPBEXHLevel1X 3 4 7" xfId="2669"/>
    <cellStyle name="SAPBEXHLevel1X 3 4 7 2" xfId="5695"/>
    <cellStyle name="SAPBEXHLevel1X 3 4 8" xfId="2966"/>
    <cellStyle name="SAPBEXHLevel1X 3 4 8 2" xfId="5951"/>
    <cellStyle name="SAPBEXHLevel1X 3 5" xfId="1092"/>
    <cellStyle name="SAPBEXHLevel1X 3 5 2" xfId="2981"/>
    <cellStyle name="SAPBEXHLevel1X 3 5 2 2" xfId="5966"/>
    <cellStyle name="SAPBEXHLevel1X 3 5 3" xfId="4402"/>
    <cellStyle name="SAPBEXHLevel1X 3 6" xfId="1855"/>
    <cellStyle name="SAPBEXHLevel1X 3 6 2" xfId="3519"/>
    <cellStyle name="SAPBEXHLevel1X 3 6 2 2" xfId="6487"/>
    <cellStyle name="SAPBEXHLevel1X 3 6 3" xfId="4913"/>
    <cellStyle name="SAPBEXHLevel1X 3 7" xfId="2072"/>
    <cellStyle name="SAPBEXHLevel1X 3 7 2" xfId="3720"/>
    <cellStyle name="SAPBEXHLevel1X 3 7 2 2" xfId="6683"/>
    <cellStyle name="SAPBEXHLevel1X 3 7 3" xfId="5120"/>
    <cellStyle name="SAPBEXHLevel1X 3 8" xfId="2288"/>
    <cellStyle name="SAPBEXHLevel1X 3 8 2" xfId="3922"/>
    <cellStyle name="SAPBEXHLevel1X 3 8 2 2" xfId="6879"/>
    <cellStyle name="SAPBEXHLevel1X 3 8 3" xfId="5325"/>
    <cellStyle name="SAPBEXHLevel1X 3 9" xfId="2497"/>
    <cellStyle name="SAPBEXHLevel1X 3 9 2" xfId="4120"/>
    <cellStyle name="SAPBEXHLevel1X 3 9 2 2" xfId="7075"/>
    <cellStyle name="SAPBEXHLevel1X 3 9 3" xfId="5527"/>
    <cellStyle name="SAPBEXHLevel1X 4" xfId="916"/>
    <cellStyle name="SAPBEXHLevel1X 4 2" xfId="1666"/>
    <cellStyle name="SAPBEXHLevel1X 4 2 2" xfId="3342"/>
    <cellStyle name="SAPBEXHLevel1X 4 2 2 2" xfId="6313"/>
    <cellStyle name="SAPBEXHLevel1X 4 2 3" xfId="4783"/>
    <cellStyle name="SAPBEXHLevel1X 4 3" xfId="1893"/>
    <cellStyle name="SAPBEXHLevel1X 4 3 2" xfId="3547"/>
    <cellStyle name="SAPBEXHLevel1X 4 3 2 2" xfId="6514"/>
    <cellStyle name="SAPBEXHLevel1X 4 3 3" xfId="4948"/>
    <cellStyle name="SAPBEXHLevel1X 4 4" xfId="2111"/>
    <cellStyle name="SAPBEXHLevel1X 4 4 2" xfId="3749"/>
    <cellStyle name="SAPBEXHLevel1X 4 4 2 2" xfId="6711"/>
    <cellStyle name="SAPBEXHLevel1X 4 4 3" xfId="5156"/>
    <cellStyle name="SAPBEXHLevel1X 4 5" xfId="2324"/>
    <cellStyle name="SAPBEXHLevel1X 4 5 2" xfId="3949"/>
    <cellStyle name="SAPBEXHLevel1X 4 5 2 2" xfId="6906"/>
    <cellStyle name="SAPBEXHLevel1X 4 5 3" xfId="5358"/>
    <cellStyle name="SAPBEXHLevel1X 4 6" xfId="2529"/>
    <cellStyle name="SAPBEXHLevel1X 4 6 2" xfId="4143"/>
    <cellStyle name="SAPBEXHLevel1X 4 6 2 2" xfId="7098"/>
    <cellStyle name="SAPBEXHLevel1X 4 6 3" xfId="5557"/>
    <cellStyle name="SAPBEXHLevel1X 4 7" xfId="2825"/>
    <cellStyle name="SAPBEXHLevel1X 4 7 2" xfId="5813"/>
    <cellStyle name="SAPBEXHLevel1X 4 8" xfId="4354"/>
    <cellStyle name="SAPBEXHLevel1X 5" xfId="903"/>
    <cellStyle name="SAPBEXHLevel1X 5 2" xfId="1504"/>
    <cellStyle name="SAPBEXHLevel1X 5 2 2" xfId="3198"/>
    <cellStyle name="SAPBEXHLevel1X 5 2 2 2" xfId="6172"/>
    <cellStyle name="SAPBEXHLevel1X 5 2 3" xfId="4654"/>
    <cellStyle name="SAPBEXHLevel1X 5 3" xfId="1653"/>
    <cellStyle name="SAPBEXHLevel1X 5 3 2" xfId="3329"/>
    <cellStyle name="SAPBEXHLevel1X 5 3 2 2" xfId="6300"/>
    <cellStyle name="SAPBEXHLevel1X 5 4" xfId="1880"/>
    <cellStyle name="SAPBEXHLevel1X 5 4 2" xfId="3534"/>
    <cellStyle name="SAPBEXHLevel1X 5 4 2 2" xfId="6501"/>
    <cellStyle name="SAPBEXHLevel1X 5 4 3" xfId="4935"/>
    <cellStyle name="SAPBEXHLevel1X 5 5" xfId="2098"/>
    <cellStyle name="SAPBEXHLevel1X 5 5 2" xfId="3736"/>
    <cellStyle name="SAPBEXHLevel1X 5 5 2 2" xfId="6698"/>
    <cellStyle name="SAPBEXHLevel1X 5 5 3" xfId="5143"/>
    <cellStyle name="SAPBEXHLevel1X 5 6" xfId="2311"/>
    <cellStyle name="SAPBEXHLevel1X 5 6 2" xfId="3936"/>
    <cellStyle name="SAPBEXHLevel1X 5 6 2 2" xfId="6893"/>
    <cellStyle name="SAPBEXHLevel1X 5 6 3" xfId="5345"/>
    <cellStyle name="SAPBEXHLevel1X 5 7" xfId="2516"/>
    <cellStyle name="SAPBEXHLevel1X 5 7 2" xfId="5544"/>
    <cellStyle name="SAPBEXHLevel1X 5 8" xfId="2812"/>
    <cellStyle name="SAPBEXHLevel1X 5 8 2" xfId="5800"/>
    <cellStyle name="SAPBEXHLevel1X 6" xfId="1562"/>
    <cellStyle name="SAPBEXHLevel1X 6 2" xfId="3245"/>
    <cellStyle name="SAPBEXHLevel1X 6 2 2" xfId="6217"/>
    <cellStyle name="SAPBEXHLevel1X 6 3" xfId="4704"/>
    <cellStyle name="SAPBEXHLevel1X 7" xfId="1495"/>
    <cellStyle name="SAPBEXHLevel1X 7 2" xfId="3195"/>
    <cellStyle name="SAPBEXHLevel1X 7 2 2" xfId="6169"/>
    <cellStyle name="SAPBEXHLevel1X 7 3" xfId="4649"/>
    <cellStyle name="SAPBEXHLevel1X 8" xfId="1390"/>
    <cellStyle name="SAPBEXHLevel1X 8 2" xfId="3119"/>
    <cellStyle name="SAPBEXHLevel1X 8 2 2" xfId="6095"/>
    <cellStyle name="SAPBEXHLevel1X 8 3" xfId="4579"/>
    <cellStyle name="SAPBEXHLevel1X 9" xfId="1135"/>
    <cellStyle name="SAPBEXHLevel1X 9 2" xfId="3010"/>
    <cellStyle name="SAPBEXHLevel1X 9 2 2" xfId="5993"/>
    <cellStyle name="SAPBEXHLevel1X 9 3" xfId="4436"/>
    <cellStyle name="SAPBEXHLevel1X_Sch-3" xfId="831"/>
    <cellStyle name="SAPBEXHLevel2" xfId="252"/>
    <cellStyle name="SAPBEXHLevel2 10" xfId="1361"/>
    <cellStyle name="SAPBEXHLevel2 10 2" xfId="3102"/>
    <cellStyle name="SAPBEXHLevel2 10 2 2" xfId="6079"/>
    <cellStyle name="SAPBEXHLevel2 10 3" xfId="4563"/>
    <cellStyle name="SAPBEXHLevel2 11" xfId="2757"/>
    <cellStyle name="SAPBEXHLevel2 11 2" xfId="5746"/>
    <cellStyle name="SAPBEXHLevel2 2" xfId="850"/>
    <cellStyle name="SAPBEXHLevel2 2 10" xfId="2491"/>
    <cellStyle name="SAPBEXHLevel2 2 10 2" xfId="4114"/>
    <cellStyle name="SAPBEXHLevel2 2 10 2 2" xfId="7069"/>
    <cellStyle name="SAPBEXHLevel2 2 10 3" xfId="5521"/>
    <cellStyle name="SAPBEXHLevel2 2 11" xfId="2794"/>
    <cellStyle name="SAPBEXHLevel2 2 11 2" xfId="5782"/>
    <cellStyle name="SAPBEXHLevel2 2 2" xfId="1016"/>
    <cellStyle name="SAPBEXHLevel2 2 2 2" xfId="1582"/>
    <cellStyle name="SAPBEXHLevel2 2 2 2 2" xfId="3265"/>
    <cellStyle name="SAPBEXHLevel2 2 2 2 2 2" xfId="6237"/>
    <cellStyle name="SAPBEXHLevel2 2 2 3" xfId="1756"/>
    <cellStyle name="SAPBEXHLevel2 2 2 3 2" xfId="3427"/>
    <cellStyle name="SAPBEXHLevel2 2 2 3 2 2" xfId="6397"/>
    <cellStyle name="SAPBEXHLevel2 2 2 3 3" xfId="4833"/>
    <cellStyle name="SAPBEXHLevel2 2 2 4" xfId="1979"/>
    <cellStyle name="SAPBEXHLevel2 2 2 4 2" xfId="3631"/>
    <cellStyle name="SAPBEXHLevel2 2 2 4 2 2" xfId="6597"/>
    <cellStyle name="SAPBEXHLevel2 2 2 4 3" xfId="5033"/>
    <cellStyle name="SAPBEXHLevel2 2 2 5" xfId="2195"/>
    <cellStyle name="SAPBEXHLevel2 2 2 5 2" xfId="3833"/>
    <cellStyle name="SAPBEXHLevel2 2 2 5 2 2" xfId="6793"/>
    <cellStyle name="SAPBEXHLevel2 2 2 5 3" xfId="5238"/>
    <cellStyle name="SAPBEXHLevel2 2 2 6" xfId="2407"/>
    <cellStyle name="SAPBEXHLevel2 2 2 6 2" xfId="4032"/>
    <cellStyle name="SAPBEXHLevel2 2 2 6 2 2" xfId="6988"/>
    <cellStyle name="SAPBEXHLevel2 2 2 6 3" xfId="5440"/>
    <cellStyle name="SAPBEXHLevel2 2 2 7" xfId="2611"/>
    <cellStyle name="SAPBEXHLevel2 2 2 7 2" xfId="4177"/>
    <cellStyle name="SAPBEXHLevel2 2 2 7 2 2" xfId="7132"/>
    <cellStyle name="SAPBEXHLevel2 2 2 7 3" xfId="5638"/>
    <cellStyle name="SAPBEXHLevel2 2 2 8" xfId="2908"/>
    <cellStyle name="SAPBEXHLevel2 2 2 8 2" xfId="5894"/>
    <cellStyle name="SAPBEXHLevel2 2 3" xfId="1036"/>
    <cellStyle name="SAPBEXHLevel2 2 3 2" xfId="1598"/>
    <cellStyle name="SAPBEXHLevel2 2 3 2 2" xfId="3280"/>
    <cellStyle name="SAPBEXHLevel2 2 3 2 2 2" xfId="6252"/>
    <cellStyle name="SAPBEXHLevel2 2 3 2 3" xfId="4720"/>
    <cellStyle name="SAPBEXHLevel2 2 3 3" xfId="1776"/>
    <cellStyle name="SAPBEXHLevel2 2 3 3 2" xfId="3447"/>
    <cellStyle name="SAPBEXHLevel2 2 3 3 2 2" xfId="6417"/>
    <cellStyle name="SAPBEXHLevel2 2 3 3 3" xfId="4853"/>
    <cellStyle name="SAPBEXHLevel2 2 3 4" xfId="1999"/>
    <cellStyle name="SAPBEXHLevel2 2 3 4 2" xfId="3651"/>
    <cellStyle name="SAPBEXHLevel2 2 3 4 2 2" xfId="6616"/>
    <cellStyle name="SAPBEXHLevel2 2 3 4 3" xfId="5052"/>
    <cellStyle name="SAPBEXHLevel2 2 3 5" xfId="2215"/>
    <cellStyle name="SAPBEXHLevel2 2 3 5 2" xfId="3853"/>
    <cellStyle name="SAPBEXHLevel2 2 3 5 2 2" xfId="6812"/>
    <cellStyle name="SAPBEXHLevel2 2 3 5 3" xfId="5257"/>
    <cellStyle name="SAPBEXHLevel2 2 3 6" xfId="2427"/>
    <cellStyle name="SAPBEXHLevel2 2 3 6 2" xfId="4052"/>
    <cellStyle name="SAPBEXHLevel2 2 3 6 2 2" xfId="7008"/>
    <cellStyle name="SAPBEXHLevel2 2 3 6 3" xfId="5460"/>
    <cellStyle name="SAPBEXHLevel2 2 3 7" xfId="2631"/>
    <cellStyle name="SAPBEXHLevel2 2 3 7 2" xfId="5658"/>
    <cellStyle name="SAPBEXHLevel2 2 3 8" xfId="2928"/>
    <cellStyle name="SAPBEXHLevel2 2 3 8 2" xfId="5914"/>
    <cellStyle name="SAPBEXHLevel2 2 4" xfId="1068"/>
    <cellStyle name="SAPBEXHLevel2 2 4 2" xfId="1629"/>
    <cellStyle name="SAPBEXHLevel2 2 4 2 2" xfId="3310"/>
    <cellStyle name="SAPBEXHLevel2 2 4 2 2 2" xfId="6281"/>
    <cellStyle name="SAPBEXHLevel2 2 4 2 3" xfId="4749"/>
    <cellStyle name="SAPBEXHLevel2 2 4 3" xfId="1808"/>
    <cellStyle name="SAPBEXHLevel2 2 4 3 2" xfId="3479"/>
    <cellStyle name="SAPBEXHLevel2 2 4 3 2 2" xfId="6448"/>
    <cellStyle name="SAPBEXHLevel2 2 4 3 3" xfId="4874"/>
    <cellStyle name="SAPBEXHLevel2 2 4 4" xfId="2031"/>
    <cellStyle name="SAPBEXHLevel2 2 4 4 2" xfId="3683"/>
    <cellStyle name="SAPBEXHLevel2 2 4 4 2 2" xfId="6647"/>
    <cellStyle name="SAPBEXHLevel2 2 4 4 3" xfId="5083"/>
    <cellStyle name="SAPBEXHLevel2 2 4 5" xfId="2247"/>
    <cellStyle name="SAPBEXHLevel2 2 4 5 2" xfId="3885"/>
    <cellStyle name="SAPBEXHLevel2 2 4 5 2 2" xfId="6843"/>
    <cellStyle name="SAPBEXHLevel2 2 4 5 3" xfId="5288"/>
    <cellStyle name="SAPBEXHLevel2 2 4 6" xfId="2459"/>
    <cellStyle name="SAPBEXHLevel2 2 4 6 2" xfId="4084"/>
    <cellStyle name="SAPBEXHLevel2 2 4 6 2 2" xfId="7039"/>
    <cellStyle name="SAPBEXHLevel2 2 4 6 3" xfId="5491"/>
    <cellStyle name="SAPBEXHLevel2 2 4 7" xfId="2663"/>
    <cellStyle name="SAPBEXHLevel2 2 4 7 2" xfId="5689"/>
    <cellStyle name="SAPBEXHLevel2 2 4 8" xfId="2960"/>
    <cellStyle name="SAPBEXHLevel2 2 4 8 2" xfId="5945"/>
    <cellStyle name="SAPBEXHLevel2 2 5" xfId="1465"/>
    <cellStyle name="SAPBEXHLevel2 2 5 2" xfId="3173"/>
    <cellStyle name="SAPBEXHLevel2 2 5 2 2" xfId="6147"/>
    <cellStyle name="SAPBEXHLevel2 2 6" xfId="1098"/>
    <cellStyle name="SAPBEXHLevel2 2 6 2" xfId="2987"/>
    <cellStyle name="SAPBEXHLevel2 2 6 2 2" xfId="5972"/>
    <cellStyle name="SAPBEXHLevel2 2 6 3" xfId="4408"/>
    <cellStyle name="SAPBEXHLevel2 2 7" xfId="1849"/>
    <cellStyle name="SAPBEXHLevel2 2 7 2" xfId="3513"/>
    <cellStyle name="SAPBEXHLevel2 2 7 2 2" xfId="6481"/>
    <cellStyle name="SAPBEXHLevel2 2 7 3" xfId="4907"/>
    <cellStyle name="SAPBEXHLevel2 2 8" xfId="2066"/>
    <cellStyle name="SAPBEXHLevel2 2 8 2" xfId="3714"/>
    <cellStyle name="SAPBEXHLevel2 2 8 2 2" xfId="6677"/>
    <cellStyle name="SAPBEXHLevel2 2 8 3" xfId="5114"/>
    <cellStyle name="SAPBEXHLevel2 2 9" xfId="2282"/>
    <cellStyle name="SAPBEXHLevel2 2 9 2" xfId="3916"/>
    <cellStyle name="SAPBEXHLevel2 2 9 2 2" xfId="6873"/>
    <cellStyle name="SAPBEXHLevel2 2 9 3" xfId="5319"/>
    <cellStyle name="SAPBEXHLevel2 3" xfId="868"/>
    <cellStyle name="SAPBEXHLevel2 3 10" xfId="2502"/>
    <cellStyle name="SAPBEXHLevel2 3 10 2" xfId="4123"/>
    <cellStyle name="SAPBEXHLevel2 3 10 2 2" xfId="7078"/>
    <cellStyle name="SAPBEXHLevel2 3 10 3" xfId="5532"/>
    <cellStyle name="SAPBEXHLevel2 3 11" xfId="2803"/>
    <cellStyle name="SAPBEXHLevel2 3 11 2" xfId="5791"/>
    <cellStyle name="SAPBEXHLevel2 3 2" xfId="1026"/>
    <cellStyle name="SAPBEXHLevel2 3 2 2" xfId="1590"/>
    <cellStyle name="SAPBEXHLevel2 3 2 2 2" xfId="3273"/>
    <cellStyle name="SAPBEXHLevel2 3 2 2 2 2" xfId="6245"/>
    <cellStyle name="SAPBEXHLevel2 3 2 3" xfId="1766"/>
    <cellStyle name="SAPBEXHLevel2 3 2 3 2" xfId="3437"/>
    <cellStyle name="SAPBEXHLevel2 3 2 3 2 2" xfId="6407"/>
    <cellStyle name="SAPBEXHLevel2 3 2 3 3" xfId="4843"/>
    <cellStyle name="SAPBEXHLevel2 3 2 4" xfId="1989"/>
    <cellStyle name="SAPBEXHLevel2 3 2 4 2" xfId="3641"/>
    <cellStyle name="SAPBEXHLevel2 3 2 4 2 2" xfId="6607"/>
    <cellStyle name="SAPBEXHLevel2 3 2 4 3" xfId="5043"/>
    <cellStyle name="SAPBEXHLevel2 3 2 5" xfId="2205"/>
    <cellStyle name="SAPBEXHLevel2 3 2 5 2" xfId="3843"/>
    <cellStyle name="SAPBEXHLevel2 3 2 5 2 2" xfId="6803"/>
    <cellStyle name="SAPBEXHLevel2 3 2 5 3" xfId="5248"/>
    <cellStyle name="SAPBEXHLevel2 3 2 6" xfId="2417"/>
    <cellStyle name="SAPBEXHLevel2 3 2 6 2" xfId="4042"/>
    <cellStyle name="SAPBEXHLevel2 3 2 6 2 2" xfId="6998"/>
    <cellStyle name="SAPBEXHLevel2 3 2 6 3" xfId="5450"/>
    <cellStyle name="SAPBEXHLevel2 3 2 7" xfId="2621"/>
    <cellStyle name="SAPBEXHLevel2 3 2 7 2" xfId="4187"/>
    <cellStyle name="SAPBEXHLevel2 3 2 7 2 2" xfId="7142"/>
    <cellStyle name="SAPBEXHLevel2 3 2 7 3" xfId="5648"/>
    <cellStyle name="SAPBEXHLevel2 3 2 8" xfId="2918"/>
    <cellStyle name="SAPBEXHLevel2 3 2 8 2" xfId="5904"/>
    <cellStyle name="SAPBEXHLevel2 3 3" xfId="1046"/>
    <cellStyle name="SAPBEXHLevel2 3 3 2" xfId="1608"/>
    <cellStyle name="SAPBEXHLevel2 3 3 2 2" xfId="3290"/>
    <cellStyle name="SAPBEXHLevel2 3 3 2 2 2" xfId="6261"/>
    <cellStyle name="SAPBEXHLevel2 3 3 2 3" xfId="4729"/>
    <cellStyle name="SAPBEXHLevel2 3 3 3" xfId="1786"/>
    <cellStyle name="SAPBEXHLevel2 3 3 3 2" xfId="3457"/>
    <cellStyle name="SAPBEXHLevel2 3 3 3 2 2" xfId="6426"/>
    <cellStyle name="SAPBEXHLevel2 3 3 3 3" xfId="4861"/>
    <cellStyle name="SAPBEXHLevel2 3 3 4" xfId="2009"/>
    <cellStyle name="SAPBEXHLevel2 3 3 4 2" xfId="3661"/>
    <cellStyle name="SAPBEXHLevel2 3 3 4 2 2" xfId="6625"/>
    <cellStyle name="SAPBEXHLevel2 3 3 4 3" xfId="5061"/>
    <cellStyle name="SAPBEXHLevel2 3 3 5" xfId="2225"/>
    <cellStyle name="SAPBEXHLevel2 3 3 5 2" xfId="3863"/>
    <cellStyle name="SAPBEXHLevel2 3 3 5 2 2" xfId="6821"/>
    <cellStyle name="SAPBEXHLevel2 3 3 5 3" xfId="5266"/>
    <cellStyle name="SAPBEXHLevel2 3 3 6" xfId="2437"/>
    <cellStyle name="SAPBEXHLevel2 3 3 6 2" xfId="4062"/>
    <cellStyle name="SAPBEXHLevel2 3 3 6 2 2" xfId="7017"/>
    <cellStyle name="SAPBEXHLevel2 3 3 6 3" xfId="5469"/>
    <cellStyle name="SAPBEXHLevel2 3 3 7" xfId="2641"/>
    <cellStyle name="SAPBEXHLevel2 3 3 7 2" xfId="5667"/>
    <cellStyle name="SAPBEXHLevel2 3 3 8" xfId="2938"/>
    <cellStyle name="SAPBEXHLevel2 3 3 8 2" xfId="5923"/>
    <cellStyle name="SAPBEXHLevel2 3 4" xfId="1077"/>
    <cellStyle name="SAPBEXHLevel2 3 4 2" xfId="1638"/>
    <cellStyle name="SAPBEXHLevel2 3 4 2 2" xfId="3319"/>
    <cellStyle name="SAPBEXHLevel2 3 4 2 2 2" xfId="6290"/>
    <cellStyle name="SAPBEXHLevel2 3 4 2 3" xfId="4758"/>
    <cellStyle name="SAPBEXHLevel2 3 4 3" xfId="1817"/>
    <cellStyle name="SAPBEXHLevel2 3 4 3 2" xfId="3488"/>
    <cellStyle name="SAPBEXHLevel2 3 4 3 2 2" xfId="6457"/>
    <cellStyle name="SAPBEXHLevel2 3 4 3 3" xfId="4882"/>
    <cellStyle name="SAPBEXHLevel2 3 4 4" xfId="2040"/>
    <cellStyle name="SAPBEXHLevel2 3 4 4 2" xfId="3692"/>
    <cellStyle name="SAPBEXHLevel2 3 4 4 2 2" xfId="6656"/>
    <cellStyle name="SAPBEXHLevel2 3 4 4 3" xfId="5092"/>
    <cellStyle name="SAPBEXHLevel2 3 4 5" xfId="2256"/>
    <cellStyle name="SAPBEXHLevel2 3 4 5 2" xfId="3894"/>
    <cellStyle name="SAPBEXHLevel2 3 4 5 2 2" xfId="6852"/>
    <cellStyle name="SAPBEXHLevel2 3 4 5 3" xfId="5297"/>
    <cellStyle name="SAPBEXHLevel2 3 4 6" xfId="2468"/>
    <cellStyle name="SAPBEXHLevel2 3 4 6 2" xfId="4093"/>
    <cellStyle name="SAPBEXHLevel2 3 4 6 2 2" xfId="7048"/>
    <cellStyle name="SAPBEXHLevel2 3 4 6 3" xfId="5500"/>
    <cellStyle name="SAPBEXHLevel2 3 4 7" xfId="2672"/>
    <cellStyle name="SAPBEXHLevel2 3 4 7 2" xfId="5698"/>
    <cellStyle name="SAPBEXHLevel2 3 4 8" xfId="2969"/>
    <cellStyle name="SAPBEXHLevel2 3 4 8 2" xfId="5954"/>
    <cellStyle name="SAPBEXHLevel2 3 5" xfId="1481"/>
    <cellStyle name="SAPBEXHLevel2 3 5 2" xfId="3185"/>
    <cellStyle name="SAPBEXHLevel2 3 5 2 2" xfId="6159"/>
    <cellStyle name="SAPBEXHLevel2 3 6" xfId="1085"/>
    <cellStyle name="SAPBEXHLevel2 3 6 2" xfId="2977"/>
    <cellStyle name="SAPBEXHLevel2 3 6 2 2" xfId="5962"/>
    <cellStyle name="SAPBEXHLevel2 3 6 3" xfId="4396"/>
    <cellStyle name="SAPBEXHLevel2 3 7" xfId="1861"/>
    <cellStyle name="SAPBEXHLevel2 3 7 2" xfId="3522"/>
    <cellStyle name="SAPBEXHLevel2 3 7 2 2" xfId="6490"/>
    <cellStyle name="SAPBEXHLevel2 3 7 3" xfId="4918"/>
    <cellStyle name="SAPBEXHLevel2 3 8" xfId="2078"/>
    <cellStyle name="SAPBEXHLevel2 3 8 2" xfId="3723"/>
    <cellStyle name="SAPBEXHLevel2 3 8 2 2" xfId="6686"/>
    <cellStyle name="SAPBEXHLevel2 3 8 3" xfId="5125"/>
    <cellStyle name="SAPBEXHLevel2 3 9" xfId="2294"/>
    <cellStyle name="SAPBEXHLevel2 3 9 2" xfId="3925"/>
    <cellStyle name="SAPBEXHLevel2 3 9 2 2" xfId="6882"/>
    <cellStyle name="SAPBEXHLevel2 3 9 3" xfId="5330"/>
    <cellStyle name="SAPBEXHLevel2 4" xfId="915"/>
    <cellStyle name="SAPBEXHLevel2 4 2" xfId="1665"/>
    <cellStyle name="SAPBEXHLevel2 4 2 2" xfId="3341"/>
    <cellStyle name="SAPBEXHLevel2 4 2 2 2" xfId="6312"/>
    <cellStyle name="SAPBEXHLevel2 4 2 3" xfId="4782"/>
    <cellStyle name="SAPBEXHLevel2 4 3" xfId="1892"/>
    <cellStyle name="SAPBEXHLevel2 4 3 2" xfId="3546"/>
    <cellStyle name="SAPBEXHLevel2 4 3 2 2" xfId="6513"/>
    <cellStyle name="SAPBEXHLevel2 4 3 3" xfId="4947"/>
    <cellStyle name="SAPBEXHLevel2 4 4" xfId="2110"/>
    <cellStyle name="SAPBEXHLevel2 4 4 2" xfId="3748"/>
    <cellStyle name="SAPBEXHLevel2 4 4 2 2" xfId="6710"/>
    <cellStyle name="SAPBEXHLevel2 4 4 3" xfId="5155"/>
    <cellStyle name="SAPBEXHLevel2 4 5" xfId="2323"/>
    <cellStyle name="SAPBEXHLevel2 4 5 2" xfId="3948"/>
    <cellStyle name="SAPBEXHLevel2 4 5 2 2" xfId="6905"/>
    <cellStyle name="SAPBEXHLevel2 4 5 3" xfId="5357"/>
    <cellStyle name="SAPBEXHLevel2 4 6" xfId="2528"/>
    <cellStyle name="SAPBEXHLevel2 4 6 2" xfId="4142"/>
    <cellStyle name="SAPBEXHLevel2 4 6 2 2" xfId="7097"/>
    <cellStyle name="SAPBEXHLevel2 4 6 3" xfId="5556"/>
    <cellStyle name="SAPBEXHLevel2 4 7" xfId="2824"/>
    <cellStyle name="SAPBEXHLevel2 4 7 2" xfId="5812"/>
    <cellStyle name="SAPBEXHLevel2 4 8" xfId="4353"/>
    <cellStyle name="SAPBEXHLevel2 5" xfId="980"/>
    <cellStyle name="SAPBEXHLevel2 5 2" xfId="1551"/>
    <cellStyle name="SAPBEXHLevel2 5 2 2" xfId="3234"/>
    <cellStyle name="SAPBEXHLevel2 5 2 2 2" xfId="6206"/>
    <cellStyle name="SAPBEXHLevel2 5 2 3" xfId="4693"/>
    <cellStyle name="SAPBEXHLevel2 5 3" xfId="1722"/>
    <cellStyle name="SAPBEXHLevel2 5 3 2" xfId="3393"/>
    <cellStyle name="SAPBEXHLevel2 5 3 2 2" xfId="6363"/>
    <cellStyle name="SAPBEXHLevel2 5 4" xfId="1946"/>
    <cellStyle name="SAPBEXHLevel2 5 4 2" xfId="3598"/>
    <cellStyle name="SAPBEXHLevel2 5 4 2 2" xfId="6564"/>
    <cellStyle name="SAPBEXHLevel2 5 4 3" xfId="5000"/>
    <cellStyle name="SAPBEXHLevel2 5 5" xfId="2162"/>
    <cellStyle name="SAPBEXHLevel2 5 5 2" xfId="3800"/>
    <cellStyle name="SAPBEXHLevel2 5 5 2 2" xfId="6760"/>
    <cellStyle name="SAPBEXHLevel2 5 5 3" xfId="5205"/>
    <cellStyle name="SAPBEXHLevel2 5 6" xfId="2374"/>
    <cellStyle name="SAPBEXHLevel2 5 6 2" xfId="3999"/>
    <cellStyle name="SAPBEXHLevel2 5 6 2 2" xfId="6955"/>
    <cellStyle name="SAPBEXHLevel2 5 6 3" xfId="5407"/>
    <cellStyle name="SAPBEXHLevel2 5 7" xfId="2579"/>
    <cellStyle name="SAPBEXHLevel2 5 7 2" xfId="5606"/>
    <cellStyle name="SAPBEXHLevel2 5 8" xfId="2876"/>
    <cellStyle name="SAPBEXHLevel2 5 8 2" xfId="5862"/>
    <cellStyle name="SAPBEXHLevel2 6" xfId="1492"/>
    <cellStyle name="SAPBEXHLevel2 6 2" xfId="3194"/>
    <cellStyle name="SAPBEXHLevel2 6 2 2" xfId="6168"/>
    <cellStyle name="SAPBEXHLevel2 6 3" xfId="4646"/>
    <cellStyle name="SAPBEXHLevel2 7" xfId="1271"/>
    <cellStyle name="SAPBEXHLevel2 7 2" xfId="3086"/>
    <cellStyle name="SAPBEXHLevel2 7 2 2" xfId="6064"/>
    <cellStyle name="SAPBEXHLevel2 7 3" xfId="4531"/>
    <cellStyle name="SAPBEXHLevel2 8" xfId="1388"/>
    <cellStyle name="SAPBEXHLevel2 8 2" xfId="3118"/>
    <cellStyle name="SAPBEXHLevel2 8 2 2" xfId="6094"/>
    <cellStyle name="SAPBEXHLevel2 8 3" xfId="4578"/>
    <cellStyle name="SAPBEXHLevel2 9" xfId="1140"/>
    <cellStyle name="SAPBEXHLevel2 9 2" xfId="3014"/>
    <cellStyle name="SAPBEXHLevel2 9 2 2" xfId="5997"/>
    <cellStyle name="SAPBEXHLevel2 9 3" xfId="4440"/>
    <cellStyle name="SAPBEXHLevel2_Sch-3" xfId="832"/>
    <cellStyle name="SAPBEXHLevel2X" xfId="253"/>
    <cellStyle name="SAPBEXHLevel2X 10" xfId="2384"/>
    <cellStyle name="SAPBEXHLevel2X 10 2" xfId="4009"/>
    <cellStyle name="SAPBEXHLevel2X 10 2 2" xfId="6965"/>
    <cellStyle name="SAPBEXHLevel2X 10 3" xfId="5417"/>
    <cellStyle name="SAPBEXHLevel2X 11" xfId="2758"/>
    <cellStyle name="SAPBEXHLevel2X 11 2" xfId="5747"/>
    <cellStyle name="SAPBEXHLevel2X 2" xfId="844"/>
    <cellStyle name="SAPBEXHLevel2X 2 10" xfId="2788"/>
    <cellStyle name="SAPBEXHLevel2X 2 10 2" xfId="5776"/>
    <cellStyle name="SAPBEXHLevel2X 2 2" xfId="1010"/>
    <cellStyle name="SAPBEXHLevel2X 2 2 2" xfId="1750"/>
    <cellStyle name="SAPBEXHLevel2X 2 2 2 2" xfId="3421"/>
    <cellStyle name="SAPBEXHLevel2X 2 2 2 2 2" xfId="6391"/>
    <cellStyle name="SAPBEXHLevel2X 2 2 2 3" xfId="4827"/>
    <cellStyle name="SAPBEXHLevel2X 2 2 3" xfId="1973"/>
    <cellStyle name="SAPBEXHLevel2X 2 2 3 2" xfId="3625"/>
    <cellStyle name="SAPBEXHLevel2X 2 2 3 2 2" xfId="6591"/>
    <cellStyle name="SAPBEXHLevel2X 2 2 3 3" xfId="5027"/>
    <cellStyle name="SAPBEXHLevel2X 2 2 4" xfId="2189"/>
    <cellStyle name="SAPBEXHLevel2X 2 2 4 2" xfId="3827"/>
    <cellStyle name="SAPBEXHLevel2X 2 2 4 2 2" xfId="6787"/>
    <cellStyle name="SAPBEXHLevel2X 2 2 4 3" xfId="5232"/>
    <cellStyle name="SAPBEXHLevel2X 2 2 5" xfId="2401"/>
    <cellStyle name="SAPBEXHLevel2X 2 2 5 2" xfId="4026"/>
    <cellStyle name="SAPBEXHLevel2X 2 2 5 2 2" xfId="6982"/>
    <cellStyle name="SAPBEXHLevel2X 2 2 5 3" xfId="5434"/>
    <cellStyle name="SAPBEXHLevel2X 2 2 6" xfId="2605"/>
    <cellStyle name="SAPBEXHLevel2X 2 2 6 2" xfId="4171"/>
    <cellStyle name="SAPBEXHLevel2X 2 2 6 2 2" xfId="7126"/>
    <cellStyle name="SAPBEXHLevel2X 2 2 6 3" xfId="5632"/>
    <cellStyle name="SAPBEXHLevel2X 2 2 7" xfId="2902"/>
    <cellStyle name="SAPBEXHLevel2X 2 2 7 2" xfId="5888"/>
    <cellStyle name="SAPBEXHLevel2X 2 2 8" xfId="4387"/>
    <cellStyle name="SAPBEXHLevel2X 2 3" xfId="963"/>
    <cellStyle name="SAPBEXHLevel2X 2 3 2" xfId="1538"/>
    <cellStyle name="SAPBEXHLevel2X 2 3 2 2" xfId="3222"/>
    <cellStyle name="SAPBEXHLevel2X 2 3 2 2 2" xfId="6195"/>
    <cellStyle name="SAPBEXHLevel2X 2 3 2 3" xfId="4683"/>
    <cellStyle name="SAPBEXHLevel2X 2 3 3" xfId="1710"/>
    <cellStyle name="SAPBEXHLevel2X 2 3 3 2" xfId="3383"/>
    <cellStyle name="SAPBEXHLevel2X 2 3 3 2 2" xfId="6353"/>
    <cellStyle name="SAPBEXHLevel2X 2 3 4" xfId="1934"/>
    <cellStyle name="SAPBEXHLevel2X 2 3 4 2" xfId="3588"/>
    <cellStyle name="SAPBEXHLevel2X 2 3 4 2 2" xfId="6554"/>
    <cellStyle name="SAPBEXHLevel2X 2 3 4 3" xfId="4988"/>
    <cellStyle name="SAPBEXHLevel2X 2 3 5" xfId="2151"/>
    <cellStyle name="SAPBEXHLevel2X 2 3 5 2" xfId="3789"/>
    <cellStyle name="SAPBEXHLevel2X 2 3 5 2 2" xfId="6750"/>
    <cellStyle name="SAPBEXHLevel2X 2 3 5 3" xfId="5195"/>
    <cellStyle name="SAPBEXHLevel2X 2 3 6" xfId="2364"/>
    <cellStyle name="SAPBEXHLevel2X 2 3 6 2" xfId="3989"/>
    <cellStyle name="SAPBEXHLevel2X 2 3 6 2 2" xfId="6945"/>
    <cellStyle name="SAPBEXHLevel2X 2 3 6 3" xfId="5397"/>
    <cellStyle name="SAPBEXHLevel2X 2 3 7" xfId="2569"/>
    <cellStyle name="SAPBEXHLevel2X 2 3 7 2" xfId="5596"/>
    <cellStyle name="SAPBEXHLevel2X 2 3 8" xfId="2865"/>
    <cellStyle name="SAPBEXHLevel2X 2 3 8 2" xfId="5852"/>
    <cellStyle name="SAPBEXHLevel2X 2 4" xfId="1062"/>
    <cellStyle name="SAPBEXHLevel2X 2 4 2" xfId="1623"/>
    <cellStyle name="SAPBEXHLevel2X 2 4 2 2" xfId="3304"/>
    <cellStyle name="SAPBEXHLevel2X 2 4 2 2 2" xfId="6275"/>
    <cellStyle name="SAPBEXHLevel2X 2 4 2 3" xfId="4743"/>
    <cellStyle name="SAPBEXHLevel2X 2 4 3" xfId="1802"/>
    <cellStyle name="SAPBEXHLevel2X 2 4 3 2" xfId="3473"/>
    <cellStyle name="SAPBEXHLevel2X 2 4 3 2 2" xfId="6442"/>
    <cellStyle name="SAPBEXHLevel2X 2 4 4" xfId="2025"/>
    <cellStyle name="SAPBEXHLevel2X 2 4 4 2" xfId="3677"/>
    <cellStyle name="SAPBEXHLevel2X 2 4 4 2 2" xfId="6641"/>
    <cellStyle name="SAPBEXHLevel2X 2 4 4 3" xfId="5077"/>
    <cellStyle name="SAPBEXHLevel2X 2 4 5" xfId="2241"/>
    <cellStyle name="SAPBEXHLevel2X 2 4 5 2" xfId="3879"/>
    <cellStyle name="SAPBEXHLevel2X 2 4 5 2 2" xfId="6837"/>
    <cellStyle name="SAPBEXHLevel2X 2 4 5 3" xfId="5282"/>
    <cellStyle name="SAPBEXHLevel2X 2 4 6" xfId="2453"/>
    <cellStyle name="SAPBEXHLevel2X 2 4 6 2" xfId="4078"/>
    <cellStyle name="SAPBEXHLevel2X 2 4 6 2 2" xfId="7033"/>
    <cellStyle name="SAPBEXHLevel2X 2 4 6 3" xfId="5485"/>
    <cellStyle name="SAPBEXHLevel2X 2 4 7" xfId="2657"/>
    <cellStyle name="SAPBEXHLevel2X 2 4 7 2" xfId="5683"/>
    <cellStyle name="SAPBEXHLevel2X 2 4 8" xfId="2954"/>
    <cellStyle name="SAPBEXHLevel2X 2 4 8 2" xfId="5939"/>
    <cellStyle name="SAPBEXHLevel2X 2 5" xfId="1223"/>
    <cellStyle name="SAPBEXHLevel2X 2 5 2" xfId="3055"/>
    <cellStyle name="SAPBEXHLevel2X 2 5 2 2" xfId="6035"/>
    <cellStyle name="SAPBEXHLevel2X 2 5 3" xfId="4494"/>
    <cellStyle name="SAPBEXHLevel2X 2 6" xfId="1843"/>
    <cellStyle name="SAPBEXHLevel2X 2 6 2" xfId="3507"/>
    <cellStyle name="SAPBEXHLevel2X 2 6 2 2" xfId="6475"/>
    <cellStyle name="SAPBEXHLevel2X 2 6 3" xfId="4901"/>
    <cellStyle name="SAPBEXHLevel2X 2 7" xfId="2060"/>
    <cellStyle name="SAPBEXHLevel2X 2 7 2" xfId="3708"/>
    <cellStyle name="SAPBEXHLevel2X 2 7 2 2" xfId="6671"/>
    <cellStyle name="SAPBEXHLevel2X 2 7 3" xfId="5108"/>
    <cellStyle name="SAPBEXHLevel2X 2 8" xfId="2276"/>
    <cellStyle name="SAPBEXHLevel2X 2 8 2" xfId="3910"/>
    <cellStyle name="SAPBEXHLevel2X 2 8 2 2" xfId="6867"/>
    <cellStyle name="SAPBEXHLevel2X 2 8 3" xfId="5313"/>
    <cellStyle name="SAPBEXHLevel2X 2 9" xfId="2485"/>
    <cellStyle name="SAPBEXHLevel2X 2 9 2" xfId="4108"/>
    <cellStyle name="SAPBEXHLevel2X 2 9 2 2" xfId="7063"/>
    <cellStyle name="SAPBEXHLevel2X 2 9 3" xfId="5515"/>
    <cellStyle name="SAPBEXHLevel2X 3" xfId="874"/>
    <cellStyle name="SAPBEXHLevel2X 3 10" xfId="2807"/>
    <cellStyle name="SAPBEXHLevel2X 3 10 2" xfId="5795"/>
    <cellStyle name="SAPBEXHLevel2X 3 2" xfId="1029"/>
    <cellStyle name="SAPBEXHLevel2X 3 2 2" xfId="1769"/>
    <cellStyle name="SAPBEXHLevel2X 3 2 2 2" xfId="3440"/>
    <cellStyle name="SAPBEXHLevel2X 3 2 2 2 2" xfId="6410"/>
    <cellStyle name="SAPBEXHLevel2X 3 2 2 3" xfId="4846"/>
    <cellStyle name="SAPBEXHLevel2X 3 2 3" xfId="1992"/>
    <cellStyle name="SAPBEXHLevel2X 3 2 3 2" xfId="3644"/>
    <cellStyle name="SAPBEXHLevel2X 3 2 3 2 2" xfId="6610"/>
    <cellStyle name="SAPBEXHLevel2X 3 2 3 3" xfId="5046"/>
    <cellStyle name="SAPBEXHLevel2X 3 2 4" xfId="2208"/>
    <cellStyle name="SAPBEXHLevel2X 3 2 4 2" xfId="3846"/>
    <cellStyle name="SAPBEXHLevel2X 3 2 4 2 2" xfId="6806"/>
    <cellStyle name="SAPBEXHLevel2X 3 2 4 3" xfId="5251"/>
    <cellStyle name="SAPBEXHLevel2X 3 2 5" xfId="2420"/>
    <cellStyle name="SAPBEXHLevel2X 3 2 5 2" xfId="4045"/>
    <cellStyle name="SAPBEXHLevel2X 3 2 5 2 2" xfId="7001"/>
    <cellStyle name="SAPBEXHLevel2X 3 2 5 3" xfId="5453"/>
    <cellStyle name="SAPBEXHLevel2X 3 2 6" xfId="2624"/>
    <cellStyle name="SAPBEXHLevel2X 3 2 6 2" xfId="4190"/>
    <cellStyle name="SAPBEXHLevel2X 3 2 6 2 2" xfId="7145"/>
    <cellStyle name="SAPBEXHLevel2X 3 2 6 3" xfId="5651"/>
    <cellStyle name="SAPBEXHLevel2X 3 2 7" xfId="2921"/>
    <cellStyle name="SAPBEXHLevel2X 3 2 7 2" xfId="5907"/>
    <cellStyle name="SAPBEXHLevel2X 3 2 8" xfId="4390"/>
    <cellStyle name="SAPBEXHLevel2X 3 3" xfId="1050"/>
    <cellStyle name="SAPBEXHLevel2X 3 3 2" xfId="1611"/>
    <cellStyle name="SAPBEXHLevel2X 3 3 2 2" xfId="3293"/>
    <cellStyle name="SAPBEXHLevel2X 3 3 2 2 2" xfId="6264"/>
    <cellStyle name="SAPBEXHLevel2X 3 3 2 3" xfId="4732"/>
    <cellStyle name="SAPBEXHLevel2X 3 3 3" xfId="1790"/>
    <cellStyle name="SAPBEXHLevel2X 3 3 3 2" xfId="3461"/>
    <cellStyle name="SAPBEXHLevel2X 3 3 3 2 2" xfId="6430"/>
    <cellStyle name="SAPBEXHLevel2X 3 3 4" xfId="2013"/>
    <cellStyle name="SAPBEXHLevel2X 3 3 4 2" xfId="3665"/>
    <cellStyle name="SAPBEXHLevel2X 3 3 4 2 2" xfId="6629"/>
    <cellStyle name="SAPBEXHLevel2X 3 3 4 3" xfId="5065"/>
    <cellStyle name="SAPBEXHLevel2X 3 3 5" xfId="2229"/>
    <cellStyle name="SAPBEXHLevel2X 3 3 5 2" xfId="3867"/>
    <cellStyle name="SAPBEXHLevel2X 3 3 5 2 2" xfId="6825"/>
    <cellStyle name="SAPBEXHLevel2X 3 3 5 3" xfId="5270"/>
    <cellStyle name="SAPBEXHLevel2X 3 3 6" xfId="2441"/>
    <cellStyle name="SAPBEXHLevel2X 3 3 6 2" xfId="4066"/>
    <cellStyle name="SAPBEXHLevel2X 3 3 6 2 2" xfId="7021"/>
    <cellStyle name="SAPBEXHLevel2X 3 3 6 3" xfId="5473"/>
    <cellStyle name="SAPBEXHLevel2X 3 3 7" xfId="2645"/>
    <cellStyle name="SAPBEXHLevel2X 3 3 7 2" xfId="5671"/>
    <cellStyle name="SAPBEXHLevel2X 3 3 8" xfId="2942"/>
    <cellStyle name="SAPBEXHLevel2X 3 3 8 2" xfId="5927"/>
    <cellStyle name="SAPBEXHLevel2X 3 4" xfId="1081"/>
    <cellStyle name="SAPBEXHLevel2X 3 4 2" xfId="1642"/>
    <cellStyle name="SAPBEXHLevel2X 3 4 2 2" xfId="3323"/>
    <cellStyle name="SAPBEXHLevel2X 3 4 2 2 2" xfId="6294"/>
    <cellStyle name="SAPBEXHLevel2X 3 4 2 3" xfId="4762"/>
    <cellStyle name="SAPBEXHLevel2X 3 4 3" xfId="1821"/>
    <cellStyle name="SAPBEXHLevel2X 3 4 3 2" xfId="3492"/>
    <cellStyle name="SAPBEXHLevel2X 3 4 3 2 2" xfId="6461"/>
    <cellStyle name="SAPBEXHLevel2X 3 4 4" xfId="2044"/>
    <cellStyle name="SAPBEXHLevel2X 3 4 4 2" xfId="3696"/>
    <cellStyle name="SAPBEXHLevel2X 3 4 4 2 2" xfId="6660"/>
    <cellStyle name="SAPBEXHLevel2X 3 4 4 3" xfId="5096"/>
    <cellStyle name="SAPBEXHLevel2X 3 4 5" xfId="2260"/>
    <cellStyle name="SAPBEXHLevel2X 3 4 5 2" xfId="3898"/>
    <cellStyle name="SAPBEXHLevel2X 3 4 5 2 2" xfId="6856"/>
    <cellStyle name="SAPBEXHLevel2X 3 4 5 3" xfId="5301"/>
    <cellStyle name="SAPBEXHLevel2X 3 4 6" xfId="2472"/>
    <cellStyle name="SAPBEXHLevel2X 3 4 6 2" xfId="4097"/>
    <cellStyle name="SAPBEXHLevel2X 3 4 6 2 2" xfId="7052"/>
    <cellStyle name="SAPBEXHLevel2X 3 4 6 3" xfId="5504"/>
    <cellStyle name="SAPBEXHLevel2X 3 4 7" xfId="2676"/>
    <cellStyle name="SAPBEXHLevel2X 3 4 7 2" xfId="5702"/>
    <cellStyle name="SAPBEXHLevel2X 3 4 8" xfId="2973"/>
    <cellStyle name="SAPBEXHLevel2X 3 4 8 2" xfId="5958"/>
    <cellStyle name="SAPBEXHLevel2X 3 5" xfId="147"/>
    <cellStyle name="SAPBEXHLevel2X 3 5 2" xfId="2729"/>
    <cellStyle name="SAPBEXHLevel2X 3 5 2 2" xfId="5720"/>
    <cellStyle name="SAPBEXHLevel2X 3 5 3" xfId="4238"/>
    <cellStyle name="SAPBEXHLevel2X 3 6" xfId="1866"/>
    <cellStyle name="SAPBEXHLevel2X 3 6 2" xfId="3527"/>
    <cellStyle name="SAPBEXHLevel2X 3 6 2 2" xfId="6495"/>
    <cellStyle name="SAPBEXHLevel2X 3 6 3" xfId="4923"/>
    <cellStyle name="SAPBEXHLevel2X 3 7" xfId="2083"/>
    <cellStyle name="SAPBEXHLevel2X 3 7 2" xfId="3728"/>
    <cellStyle name="SAPBEXHLevel2X 3 7 2 2" xfId="6691"/>
    <cellStyle name="SAPBEXHLevel2X 3 7 3" xfId="5130"/>
    <cellStyle name="SAPBEXHLevel2X 3 8" xfId="2299"/>
    <cellStyle name="SAPBEXHLevel2X 3 8 2" xfId="3930"/>
    <cellStyle name="SAPBEXHLevel2X 3 8 2 2" xfId="6887"/>
    <cellStyle name="SAPBEXHLevel2X 3 8 3" xfId="5335"/>
    <cellStyle name="SAPBEXHLevel2X 3 9" xfId="2506"/>
    <cellStyle name="SAPBEXHLevel2X 3 9 2" xfId="4127"/>
    <cellStyle name="SAPBEXHLevel2X 3 9 2 2" xfId="7082"/>
    <cellStyle name="SAPBEXHLevel2X 3 9 3" xfId="5536"/>
    <cellStyle name="SAPBEXHLevel2X 4" xfId="914"/>
    <cellStyle name="SAPBEXHLevel2X 4 2" xfId="1664"/>
    <cellStyle name="SAPBEXHLevel2X 4 2 2" xfId="3340"/>
    <cellStyle name="SAPBEXHLevel2X 4 2 2 2" xfId="6311"/>
    <cellStyle name="SAPBEXHLevel2X 4 2 3" xfId="4781"/>
    <cellStyle name="SAPBEXHLevel2X 4 3" xfId="1891"/>
    <cellStyle name="SAPBEXHLevel2X 4 3 2" xfId="3545"/>
    <cellStyle name="SAPBEXHLevel2X 4 3 2 2" xfId="6512"/>
    <cellStyle name="SAPBEXHLevel2X 4 3 3" xfId="4946"/>
    <cellStyle name="SAPBEXHLevel2X 4 4" xfId="2109"/>
    <cellStyle name="SAPBEXHLevel2X 4 4 2" xfId="3747"/>
    <cellStyle name="SAPBEXHLevel2X 4 4 2 2" xfId="6709"/>
    <cellStyle name="SAPBEXHLevel2X 4 4 3" xfId="5154"/>
    <cellStyle name="SAPBEXHLevel2X 4 5" xfId="2322"/>
    <cellStyle name="SAPBEXHLevel2X 4 5 2" xfId="3947"/>
    <cellStyle name="SAPBEXHLevel2X 4 5 2 2" xfId="6904"/>
    <cellStyle name="SAPBEXHLevel2X 4 5 3" xfId="5356"/>
    <cellStyle name="SAPBEXHLevel2X 4 6" xfId="2527"/>
    <cellStyle name="SAPBEXHLevel2X 4 6 2" xfId="4141"/>
    <cellStyle name="SAPBEXHLevel2X 4 6 2 2" xfId="7096"/>
    <cellStyle name="SAPBEXHLevel2X 4 6 3" xfId="5555"/>
    <cellStyle name="SAPBEXHLevel2X 4 7" xfId="2823"/>
    <cellStyle name="SAPBEXHLevel2X 4 7 2" xfId="5811"/>
    <cellStyle name="SAPBEXHLevel2X 4 8" xfId="4352"/>
    <cellStyle name="SAPBEXHLevel2X 5" xfId="950"/>
    <cellStyle name="SAPBEXHLevel2X 5 2" xfId="1529"/>
    <cellStyle name="SAPBEXHLevel2X 5 2 2" xfId="3214"/>
    <cellStyle name="SAPBEXHLevel2X 5 2 2 2" xfId="6187"/>
    <cellStyle name="SAPBEXHLevel2X 5 2 3" xfId="4675"/>
    <cellStyle name="SAPBEXHLevel2X 5 3" xfId="1700"/>
    <cellStyle name="SAPBEXHLevel2X 5 3 2" xfId="3376"/>
    <cellStyle name="SAPBEXHLevel2X 5 3 2 2" xfId="6346"/>
    <cellStyle name="SAPBEXHLevel2X 5 4" xfId="1927"/>
    <cellStyle name="SAPBEXHLevel2X 5 4 2" xfId="3581"/>
    <cellStyle name="SAPBEXHLevel2X 5 4 2 2" xfId="6547"/>
    <cellStyle name="SAPBEXHLevel2X 5 4 3" xfId="4981"/>
    <cellStyle name="SAPBEXHLevel2X 5 5" xfId="2145"/>
    <cellStyle name="SAPBEXHLevel2X 5 5 2" xfId="3783"/>
    <cellStyle name="SAPBEXHLevel2X 5 5 2 2" xfId="6744"/>
    <cellStyle name="SAPBEXHLevel2X 5 5 3" xfId="5189"/>
    <cellStyle name="SAPBEXHLevel2X 5 6" xfId="2358"/>
    <cellStyle name="SAPBEXHLevel2X 5 6 2" xfId="3983"/>
    <cellStyle name="SAPBEXHLevel2X 5 6 2 2" xfId="6939"/>
    <cellStyle name="SAPBEXHLevel2X 5 6 3" xfId="5391"/>
    <cellStyle name="SAPBEXHLevel2X 5 7" xfId="2563"/>
    <cellStyle name="SAPBEXHLevel2X 5 7 2" xfId="5590"/>
    <cellStyle name="SAPBEXHLevel2X 5 8" xfId="2859"/>
    <cellStyle name="SAPBEXHLevel2X 5 8 2" xfId="5846"/>
    <cellStyle name="SAPBEXHLevel2X 6" xfId="1486"/>
    <cellStyle name="SAPBEXHLevel2X 6 2" xfId="3189"/>
    <cellStyle name="SAPBEXHLevel2X 6 2 2" xfId="6163"/>
    <cellStyle name="SAPBEXHLevel2X 6 3" xfId="4640"/>
    <cellStyle name="SAPBEXHLevel2X 7" xfId="1733"/>
    <cellStyle name="SAPBEXHLevel2X 7 2" xfId="3404"/>
    <cellStyle name="SAPBEXHLevel2X 7 2 2" xfId="6374"/>
    <cellStyle name="SAPBEXHLevel2X 7 3" xfId="4820"/>
    <cellStyle name="SAPBEXHLevel2X 8" xfId="1956"/>
    <cellStyle name="SAPBEXHLevel2X 8 2" xfId="3608"/>
    <cellStyle name="SAPBEXHLevel2X 8 2 2" xfId="6574"/>
    <cellStyle name="SAPBEXHLevel2X 8 3" xfId="5010"/>
    <cellStyle name="SAPBEXHLevel2X 9" xfId="2172"/>
    <cellStyle name="SAPBEXHLevel2X 9 2" xfId="3810"/>
    <cellStyle name="SAPBEXHLevel2X 9 2 2" xfId="6770"/>
    <cellStyle name="SAPBEXHLevel2X 9 3" xfId="5215"/>
    <cellStyle name="SAPBEXHLevel2X_Sch-3" xfId="833"/>
    <cellStyle name="SAPBEXHLevel3" xfId="254"/>
    <cellStyle name="SAPBEXHLevel3 10" xfId="2301"/>
    <cellStyle name="SAPBEXHLevel3 10 2" xfId="3932"/>
    <cellStyle name="SAPBEXHLevel3 10 2 2" xfId="6889"/>
    <cellStyle name="SAPBEXHLevel3 10 3" xfId="5337"/>
    <cellStyle name="SAPBEXHLevel3 11" xfId="2759"/>
    <cellStyle name="SAPBEXHLevel3 11 2" xfId="5748"/>
    <cellStyle name="SAPBEXHLevel3 2" xfId="851"/>
    <cellStyle name="SAPBEXHLevel3 2 10" xfId="2492"/>
    <cellStyle name="SAPBEXHLevel3 2 10 2" xfId="4115"/>
    <cellStyle name="SAPBEXHLevel3 2 10 2 2" xfId="7070"/>
    <cellStyle name="SAPBEXHLevel3 2 10 3" xfId="5522"/>
    <cellStyle name="SAPBEXHLevel3 2 11" xfId="2795"/>
    <cellStyle name="SAPBEXHLevel3 2 11 2" xfId="5783"/>
    <cellStyle name="SAPBEXHLevel3 2 2" xfId="1017"/>
    <cellStyle name="SAPBEXHLevel3 2 2 2" xfId="1583"/>
    <cellStyle name="SAPBEXHLevel3 2 2 2 2" xfId="3266"/>
    <cellStyle name="SAPBEXHLevel3 2 2 2 2 2" xfId="6238"/>
    <cellStyle name="SAPBEXHLevel3 2 2 3" xfId="1757"/>
    <cellStyle name="SAPBEXHLevel3 2 2 3 2" xfId="3428"/>
    <cellStyle name="SAPBEXHLevel3 2 2 3 2 2" xfId="6398"/>
    <cellStyle name="SAPBEXHLevel3 2 2 3 3" xfId="4834"/>
    <cellStyle name="SAPBEXHLevel3 2 2 4" xfId="1980"/>
    <cellStyle name="SAPBEXHLevel3 2 2 4 2" xfId="3632"/>
    <cellStyle name="SAPBEXHLevel3 2 2 4 2 2" xfId="6598"/>
    <cellStyle name="SAPBEXHLevel3 2 2 4 3" xfId="5034"/>
    <cellStyle name="SAPBEXHLevel3 2 2 5" xfId="2196"/>
    <cellStyle name="SAPBEXHLevel3 2 2 5 2" xfId="3834"/>
    <cellStyle name="SAPBEXHLevel3 2 2 5 2 2" xfId="6794"/>
    <cellStyle name="SAPBEXHLevel3 2 2 5 3" xfId="5239"/>
    <cellStyle name="SAPBEXHLevel3 2 2 6" xfId="2408"/>
    <cellStyle name="SAPBEXHLevel3 2 2 6 2" xfId="4033"/>
    <cellStyle name="SAPBEXHLevel3 2 2 6 2 2" xfId="6989"/>
    <cellStyle name="SAPBEXHLevel3 2 2 6 3" xfId="5441"/>
    <cellStyle name="SAPBEXHLevel3 2 2 7" xfId="2612"/>
    <cellStyle name="SAPBEXHLevel3 2 2 7 2" xfId="4178"/>
    <cellStyle name="SAPBEXHLevel3 2 2 7 2 2" xfId="7133"/>
    <cellStyle name="SAPBEXHLevel3 2 2 7 3" xfId="5639"/>
    <cellStyle name="SAPBEXHLevel3 2 2 8" xfId="2909"/>
    <cellStyle name="SAPBEXHLevel3 2 2 8 2" xfId="5895"/>
    <cellStyle name="SAPBEXHLevel3 2 3" xfId="1037"/>
    <cellStyle name="SAPBEXHLevel3 2 3 2" xfId="1599"/>
    <cellStyle name="SAPBEXHLevel3 2 3 2 2" xfId="3281"/>
    <cellStyle name="SAPBEXHLevel3 2 3 2 2 2" xfId="6253"/>
    <cellStyle name="SAPBEXHLevel3 2 3 2 3" xfId="4721"/>
    <cellStyle name="SAPBEXHLevel3 2 3 3" xfId="1777"/>
    <cellStyle name="SAPBEXHLevel3 2 3 3 2" xfId="3448"/>
    <cellStyle name="SAPBEXHLevel3 2 3 3 2 2" xfId="6418"/>
    <cellStyle name="SAPBEXHLevel3 2 3 3 3" xfId="4854"/>
    <cellStyle name="SAPBEXHLevel3 2 3 4" xfId="2000"/>
    <cellStyle name="SAPBEXHLevel3 2 3 4 2" xfId="3652"/>
    <cellStyle name="SAPBEXHLevel3 2 3 4 2 2" xfId="6617"/>
    <cellStyle name="SAPBEXHLevel3 2 3 4 3" xfId="5053"/>
    <cellStyle name="SAPBEXHLevel3 2 3 5" xfId="2216"/>
    <cellStyle name="SAPBEXHLevel3 2 3 5 2" xfId="3854"/>
    <cellStyle name="SAPBEXHLevel3 2 3 5 2 2" xfId="6813"/>
    <cellStyle name="SAPBEXHLevel3 2 3 5 3" xfId="5258"/>
    <cellStyle name="SAPBEXHLevel3 2 3 6" xfId="2428"/>
    <cellStyle name="SAPBEXHLevel3 2 3 6 2" xfId="4053"/>
    <cellStyle name="SAPBEXHLevel3 2 3 6 2 2" xfId="7009"/>
    <cellStyle name="SAPBEXHLevel3 2 3 6 3" xfId="5461"/>
    <cellStyle name="SAPBEXHLevel3 2 3 7" xfId="2632"/>
    <cellStyle name="SAPBEXHLevel3 2 3 7 2" xfId="5659"/>
    <cellStyle name="SAPBEXHLevel3 2 3 8" xfId="2929"/>
    <cellStyle name="SAPBEXHLevel3 2 3 8 2" xfId="5915"/>
    <cellStyle name="SAPBEXHLevel3 2 4" xfId="1069"/>
    <cellStyle name="SAPBEXHLevel3 2 4 2" xfId="1630"/>
    <cellStyle name="SAPBEXHLevel3 2 4 2 2" xfId="3311"/>
    <cellStyle name="SAPBEXHLevel3 2 4 2 2 2" xfId="6282"/>
    <cellStyle name="SAPBEXHLevel3 2 4 2 3" xfId="4750"/>
    <cellStyle name="SAPBEXHLevel3 2 4 3" xfId="1809"/>
    <cellStyle name="SAPBEXHLevel3 2 4 3 2" xfId="3480"/>
    <cellStyle name="SAPBEXHLevel3 2 4 3 2 2" xfId="6449"/>
    <cellStyle name="SAPBEXHLevel3 2 4 3 3" xfId="4875"/>
    <cellStyle name="SAPBEXHLevel3 2 4 4" xfId="2032"/>
    <cellStyle name="SAPBEXHLevel3 2 4 4 2" xfId="3684"/>
    <cellStyle name="SAPBEXHLevel3 2 4 4 2 2" xfId="6648"/>
    <cellStyle name="SAPBEXHLevel3 2 4 4 3" xfId="5084"/>
    <cellStyle name="SAPBEXHLevel3 2 4 5" xfId="2248"/>
    <cellStyle name="SAPBEXHLevel3 2 4 5 2" xfId="3886"/>
    <cellStyle name="SAPBEXHLevel3 2 4 5 2 2" xfId="6844"/>
    <cellStyle name="SAPBEXHLevel3 2 4 5 3" xfId="5289"/>
    <cellStyle name="SAPBEXHLevel3 2 4 6" xfId="2460"/>
    <cellStyle name="SAPBEXHLevel3 2 4 6 2" xfId="4085"/>
    <cellStyle name="SAPBEXHLevel3 2 4 6 2 2" xfId="7040"/>
    <cellStyle name="SAPBEXHLevel3 2 4 6 3" xfId="5492"/>
    <cellStyle name="SAPBEXHLevel3 2 4 7" xfId="2664"/>
    <cellStyle name="SAPBEXHLevel3 2 4 7 2" xfId="5690"/>
    <cellStyle name="SAPBEXHLevel3 2 4 8" xfId="2961"/>
    <cellStyle name="SAPBEXHLevel3 2 4 8 2" xfId="5946"/>
    <cellStyle name="SAPBEXHLevel3 2 5" xfId="1466"/>
    <cellStyle name="SAPBEXHLevel3 2 5 2" xfId="3174"/>
    <cellStyle name="SAPBEXHLevel3 2 5 2 2" xfId="6148"/>
    <cellStyle name="SAPBEXHLevel3 2 6" xfId="1097"/>
    <cellStyle name="SAPBEXHLevel3 2 6 2" xfId="2986"/>
    <cellStyle name="SAPBEXHLevel3 2 6 2 2" xfId="5971"/>
    <cellStyle name="SAPBEXHLevel3 2 6 3" xfId="4407"/>
    <cellStyle name="SAPBEXHLevel3 2 7" xfId="1850"/>
    <cellStyle name="SAPBEXHLevel3 2 7 2" xfId="3514"/>
    <cellStyle name="SAPBEXHLevel3 2 7 2 2" xfId="6482"/>
    <cellStyle name="SAPBEXHLevel3 2 7 3" xfId="4908"/>
    <cellStyle name="SAPBEXHLevel3 2 8" xfId="2067"/>
    <cellStyle name="SAPBEXHLevel3 2 8 2" xfId="3715"/>
    <cellStyle name="SAPBEXHLevel3 2 8 2 2" xfId="6678"/>
    <cellStyle name="SAPBEXHLevel3 2 8 3" xfId="5115"/>
    <cellStyle name="SAPBEXHLevel3 2 9" xfId="2283"/>
    <cellStyle name="SAPBEXHLevel3 2 9 2" xfId="3917"/>
    <cellStyle name="SAPBEXHLevel3 2 9 2 2" xfId="6874"/>
    <cellStyle name="SAPBEXHLevel3 2 9 3" xfId="5320"/>
    <cellStyle name="SAPBEXHLevel3 3" xfId="867"/>
    <cellStyle name="SAPBEXHLevel3 3 10" xfId="2501"/>
    <cellStyle name="SAPBEXHLevel3 3 10 2" xfId="4122"/>
    <cellStyle name="SAPBEXHLevel3 3 10 2 2" xfId="7077"/>
    <cellStyle name="SAPBEXHLevel3 3 10 3" xfId="5531"/>
    <cellStyle name="SAPBEXHLevel3 3 11" xfId="2802"/>
    <cellStyle name="SAPBEXHLevel3 3 11 2" xfId="5790"/>
    <cellStyle name="SAPBEXHLevel3 3 2" xfId="1025"/>
    <cellStyle name="SAPBEXHLevel3 3 2 2" xfId="1589"/>
    <cellStyle name="SAPBEXHLevel3 3 2 2 2" xfId="3272"/>
    <cellStyle name="SAPBEXHLevel3 3 2 2 2 2" xfId="6244"/>
    <cellStyle name="SAPBEXHLevel3 3 2 3" xfId="1765"/>
    <cellStyle name="SAPBEXHLevel3 3 2 3 2" xfId="3436"/>
    <cellStyle name="SAPBEXHLevel3 3 2 3 2 2" xfId="6406"/>
    <cellStyle name="SAPBEXHLevel3 3 2 3 3" xfId="4842"/>
    <cellStyle name="SAPBEXHLevel3 3 2 4" xfId="1988"/>
    <cellStyle name="SAPBEXHLevel3 3 2 4 2" xfId="3640"/>
    <cellStyle name="SAPBEXHLevel3 3 2 4 2 2" xfId="6606"/>
    <cellStyle name="SAPBEXHLevel3 3 2 4 3" xfId="5042"/>
    <cellStyle name="SAPBEXHLevel3 3 2 5" xfId="2204"/>
    <cellStyle name="SAPBEXHLevel3 3 2 5 2" xfId="3842"/>
    <cellStyle name="SAPBEXHLevel3 3 2 5 2 2" xfId="6802"/>
    <cellStyle name="SAPBEXHLevel3 3 2 5 3" xfId="5247"/>
    <cellStyle name="SAPBEXHLevel3 3 2 6" xfId="2416"/>
    <cellStyle name="SAPBEXHLevel3 3 2 6 2" xfId="4041"/>
    <cellStyle name="SAPBEXHLevel3 3 2 6 2 2" xfId="6997"/>
    <cellStyle name="SAPBEXHLevel3 3 2 6 3" xfId="5449"/>
    <cellStyle name="SAPBEXHLevel3 3 2 7" xfId="2620"/>
    <cellStyle name="SAPBEXHLevel3 3 2 7 2" xfId="4186"/>
    <cellStyle name="SAPBEXHLevel3 3 2 7 2 2" xfId="7141"/>
    <cellStyle name="SAPBEXHLevel3 3 2 7 3" xfId="5647"/>
    <cellStyle name="SAPBEXHLevel3 3 2 8" xfId="2917"/>
    <cellStyle name="SAPBEXHLevel3 3 2 8 2" xfId="5903"/>
    <cellStyle name="SAPBEXHLevel3 3 3" xfId="1045"/>
    <cellStyle name="SAPBEXHLevel3 3 3 2" xfId="1607"/>
    <cellStyle name="SAPBEXHLevel3 3 3 2 2" xfId="3289"/>
    <cellStyle name="SAPBEXHLevel3 3 3 2 2 2" xfId="6260"/>
    <cellStyle name="SAPBEXHLevel3 3 3 2 3" xfId="4728"/>
    <cellStyle name="SAPBEXHLevel3 3 3 3" xfId="1785"/>
    <cellStyle name="SAPBEXHLevel3 3 3 3 2" xfId="3456"/>
    <cellStyle name="SAPBEXHLevel3 3 3 3 2 2" xfId="6425"/>
    <cellStyle name="SAPBEXHLevel3 3 3 3 3" xfId="4860"/>
    <cellStyle name="SAPBEXHLevel3 3 3 4" xfId="2008"/>
    <cellStyle name="SAPBEXHLevel3 3 3 4 2" xfId="3660"/>
    <cellStyle name="SAPBEXHLevel3 3 3 4 2 2" xfId="6624"/>
    <cellStyle name="SAPBEXHLevel3 3 3 4 3" xfId="5060"/>
    <cellStyle name="SAPBEXHLevel3 3 3 5" xfId="2224"/>
    <cellStyle name="SAPBEXHLevel3 3 3 5 2" xfId="3862"/>
    <cellStyle name="SAPBEXHLevel3 3 3 5 2 2" xfId="6820"/>
    <cellStyle name="SAPBEXHLevel3 3 3 5 3" xfId="5265"/>
    <cellStyle name="SAPBEXHLevel3 3 3 6" xfId="2436"/>
    <cellStyle name="SAPBEXHLevel3 3 3 6 2" xfId="4061"/>
    <cellStyle name="SAPBEXHLevel3 3 3 6 2 2" xfId="7016"/>
    <cellStyle name="SAPBEXHLevel3 3 3 6 3" xfId="5468"/>
    <cellStyle name="SAPBEXHLevel3 3 3 7" xfId="2640"/>
    <cellStyle name="SAPBEXHLevel3 3 3 7 2" xfId="5666"/>
    <cellStyle name="SAPBEXHLevel3 3 3 8" xfId="2937"/>
    <cellStyle name="SAPBEXHLevel3 3 3 8 2" xfId="5922"/>
    <cellStyle name="SAPBEXHLevel3 3 4" xfId="1076"/>
    <cellStyle name="SAPBEXHLevel3 3 4 2" xfId="1637"/>
    <cellStyle name="SAPBEXHLevel3 3 4 2 2" xfId="3318"/>
    <cellStyle name="SAPBEXHLevel3 3 4 2 2 2" xfId="6289"/>
    <cellStyle name="SAPBEXHLevel3 3 4 2 3" xfId="4757"/>
    <cellStyle name="SAPBEXHLevel3 3 4 3" xfId="1816"/>
    <cellStyle name="SAPBEXHLevel3 3 4 3 2" xfId="3487"/>
    <cellStyle name="SAPBEXHLevel3 3 4 3 2 2" xfId="6456"/>
    <cellStyle name="SAPBEXHLevel3 3 4 3 3" xfId="4881"/>
    <cellStyle name="SAPBEXHLevel3 3 4 4" xfId="2039"/>
    <cellStyle name="SAPBEXHLevel3 3 4 4 2" xfId="3691"/>
    <cellStyle name="SAPBEXHLevel3 3 4 4 2 2" xfId="6655"/>
    <cellStyle name="SAPBEXHLevel3 3 4 4 3" xfId="5091"/>
    <cellStyle name="SAPBEXHLevel3 3 4 5" xfId="2255"/>
    <cellStyle name="SAPBEXHLevel3 3 4 5 2" xfId="3893"/>
    <cellStyle name="SAPBEXHLevel3 3 4 5 2 2" xfId="6851"/>
    <cellStyle name="SAPBEXHLevel3 3 4 5 3" xfId="5296"/>
    <cellStyle name="SAPBEXHLevel3 3 4 6" xfId="2467"/>
    <cellStyle name="SAPBEXHLevel3 3 4 6 2" xfId="4092"/>
    <cellStyle name="SAPBEXHLevel3 3 4 6 2 2" xfId="7047"/>
    <cellStyle name="SAPBEXHLevel3 3 4 6 3" xfId="5499"/>
    <cellStyle name="SAPBEXHLevel3 3 4 7" xfId="2671"/>
    <cellStyle name="SAPBEXHLevel3 3 4 7 2" xfId="5697"/>
    <cellStyle name="SAPBEXHLevel3 3 4 8" xfId="2968"/>
    <cellStyle name="SAPBEXHLevel3 3 4 8 2" xfId="5953"/>
    <cellStyle name="SAPBEXHLevel3 3 5" xfId="1480"/>
    <cellStyle name="SAPBEXHLevel3 3 5 2" xfId="3184"/>
    <cellStyle name="SAPBEXHLevel3 3 5 2 2" xfId="6158"/>
    <cellStyle name="SAPBEXHLevel3 3 6" xfId="1086"/>
    <cellStyle name="SAPBEXHLevel3 3 6 2" xfId="2978"/>
    <cellStyle name="SAPBEXHLevel3 3 6 2 2" xfId="5963"/>
    <cellStyle name="SAPBEXHLevel3 3 6 3" xfId="4397"/>
    <cellStyle name="SAPBEXHLevel3 3 7" xfId="1860"/>
    <cellStyle name="SAPBEXHLevel3 3 7 2" xfId="3521"/>
    <cellStyle name="SAPBEXHLevel3 3 7 2 2" xfId="6489"/>
    <cellStyle name="SAPBEXHLevel3 3 7 3" xfId="4917"/>
    <cellStyle name="SAPBEXHLevel3 3 8" xfId="2077"/>
    <cellStyle name="SAPBEXHLevel3 3 8 2" xfId="3722"/>
    <cellStyle name="SAPBEXHLevel3 3 8 2 2" xfId="6685"/>
    <cellStyle name="SAPBEXHLevel3 3 8 3" xfId="5124"/>
    <cellStyle name="SAPBEXHLevel3 3 9" xfId="2293"/>
    <cellStyle name="SAPBEXHLevel3 3 9 2" xfId="3924"/>
    <cellStyle name="SAPBEXHLevel3 3 9 2 2" xfId="6881"/>
    <cellStyle name="SAPBEXHLevel3 3 9 3" xfId="5329"/>
    <cellStyle name="SAPBEXHLevel3 4" xfId="913"/>
    <cellStyle name="SAPBEXHLevel3 4 2" xfId="1663"/>
    <cellStyle name="SAPBEXHLevel3 4 2 2" xfId="3339"/>
    <cellStyle name="SAPBEXHLevel3 4 2 2 2" xfId="6310"/>
    <cellStyle name="SAPBEXHLevel3 4 2 3" xfId="4780"/>
    <cellStyle name="SAPBEXHLevel3 4 3" xfId="1890"/>
    <cellStyle name="SAPBEXHLevel3 4 3 2" xfId="3544"/>
    <cellStyle name="SAPBEXHLevel3 4 3 2 2" xfId="6511"/>
    <cellStyle name="SAPBEXHLevel3 4 3 3" xfId="4945"/>
    <cellStyle name="SAPBEXHLevel3 4 4" xfId="2108"/>
    <cellStyle name="SAPBEXHLevel3 4 4 2" xfId="3746"/>
    <cellStyle name="SAPBEXHLevel3 4 4 2 2" xfId="6708"/>
    <cellStyle name="SAPBEXHLevel3 4 4 3" xfId="5153"/>
    <cellStyle name="SAPBEXHLevel3 4 5" xfId="2321"/>
    <cellStyle name="SAPBEXHLevel3 4 5 2" xfId="3946"/>
    <cellStyle name="SAPBEXHLevel3 4 5 2 2" xfId="6903"/>
    <cellStyle name="SAPBEXHLevel3 4 5 3" xfId="5355"/>
    <cellStyle name="SAPBEXHLevel3 4 6" xfId="2526"/>
    <cellStyle name="SAPBEXHLevel3 4 6 2" xfId="4140"/>
    <cellStyle name="SAPBEXHLevel3 4 6 2 2" xfId="7095"/>
    <cellStyle name="SAPBEXHLevel3 4 6 3" xfId="5554"/>
    <cellStyle name="SAPBEXHLevel3 4 7" xfId="2822"/>
    <cellStyle name="SAPBEXHLevel3 4 7 2" xfId="5810"/>
    <cellStyle name="SAPBEXHLevel3 4 8" xfId="4351"/>
    <cellStyle name="SAPBEXHLevel3 5" xfId="981"/>
    <cellStyle name="SAPBEXHLevel3 5 2" xfId="1552"/>
    <cellStyle name="SAPBEXHLevel3 5 2 2" xfId="3235"/>
    <cellStyle name="SAPBEXHLevel3 5 2 2 2" xfId="6207"/>
    <cellStyle name="SAPBEXHLevel3 5 2 3" xfId="4694"/>
    <cellStyle name="SAPBEXHLevel3 5 3" xfId="1723"/>
    <cellStyle name="SAPBEXHLevel3 5 3 2" xfId="3394"/>
    <cellStyle name="SAPBEXHLevel3 5 3 2 2" xfId="6364"/>
    <cellStyle name="SAPBEXHLevel3 5 4" xfId="1947"/>
    <cellStyle name="SAPBEXHLevel3 5 4 2" xfId="3599"/>
    <cellStyle name="SAPBEXHLevel3 5 4 2 2" xfId="6565"/>
    <cellStyle name="SAPBEXHLevel3 5 4 3" xfId="5001"/>
    <cellStyle name="SAPBEXHLevel3 5 5" xfId="2163"/>
    <cellStyle name="SAPBEXHLevel3 5 5 2" xfId="3801"/>
    <cellStyle name="SAPBEXHLevel3 5 5 2 2" xfId="6761"/>
    <cellStyle name="SAPBEXHLevel3 5 5 3" xfId="5206"/>
    <cellStyle name="SAPBEXHLevel3 5 6" xfId="2375"/>
    <cellStyle name="SAPBEXHLevel3 5 6 2" xfId="4000"/>
    <cellStyle name="SAPBEXHLevel3 5 6 2 2" xfId="6956"/>
    <cellStyle name="SAPBEXHLevel3 5 6 3" xfId="5408"/>
    <cellStyle name="SAPBEXHLevel3 5 7" xfId="2580"/>
    <cellStyle name="SAPBEXHLevel3 5 7 2" xfId="5607"/>
    <cellStyle name="SAPBEXHLevel3 5 8" xfId="2877"/>
    <cellStyle name="SAPBEXHLevel3 5 8 2" xfId="5863"/>
    <cellStyle name="SAPBEXHLevel3 6" xfId="1442"/>
    <cellStyle name="SAPBEXHLevel3 6 2" xfId="3154"/>
    <cellStyle name="SAPBEXHLevel3 6 2 2" xfId="6129"/>
    <cellStyle name="SAPBEXHLevel3 6 3" xfId="4619"/>
    <cellStyle name="SAPBEXHLevel3 7" xfId="470"/>
    <cellStyle name="SAPBEXHLevel3 7 2" xfId="2778"/>
    <cellStyle name="SAPBEXHLevel3 7 2 2" xfId="5766"/>
    <cellStyle name="SAPBEXHLevel3 7 3" xfId="4317"/>
    <cellStyle name="SAPBEXHLevel3 8" xfId="1870"/>
    <cellStyle name="SAPBEXHLevel3 8 2" xfId="3530"/>
    <cellStyle name="SAPBEXHLevel3 8 2 2" xfId="6497"/>
    <cellStyle name="SAPBEXHLevel3 8 3" xfId="4927"/>
    <cellStyle name="SAPBEXHLevel3 9" xfId="2087"/>
    <cellStyle name="SAPBEXHLevel3 9 2" xfId="3731"/>
    <cellStyle name="SAPBEXHLevel3 9 2 2" xfId="6693"/>
    <cellStyle name="SAPBEXHLevel3 9 3" xfId="5134"/>
    <cellStyle name="SAPBEXHLevel3_Sch-3" xfId="834"/>
    <cellStyle name="SAPBEXHLevel3X" xfId="255"/>
    <cellStyle name="SAPBEXHLevel3X 2" xfId="912"/>
    <cellStyle name="SAPBEXHLevel3X 2 2" xfId="1662"/>
    <cellStyle name="SAPBEXHLevel3X 2 2 2" xfId="3338"/>
    <cellStyle name="SAPBEXHLevel3X 2 2 2 2" xfId="6309"/>
    <cellStyle name="SAPBEXHLevel3X 2 2 3" xfId="4779"/>
    <cellStyle name="SAPBEXHLevel3X 2 3" xfId="1889"/>
    <cellStyle name="SAPBEXHLevel3X 2 3 2" xfId="3543"/>
    <cellStyle name="SAPBEXHLevel3X 2 3 2 2" xfId="6510"/>
    <cellStyle name="SAPBEXHLevel3X 2 3 3" xfId="4944"/>
    <cellStyle name="SAPBEXHLevel3X 2 4" xfId="2107"/>
    <cellStyle name="SAPBEXHLevel3X 2 4 2" xfId="3745"/>
    <cellStyle name="SAPBEXHLevel3X 2 4 2 2" xfId="6707"/>
    <cellStyle name="SAPBEXHLevel3X 2 4 3" xfId="5152"/>
    <cellStyle name="SAPBEXHLevel3X 2 5" xfId="2320"/>
    <cellStyle name="SAPBEXHLevel3X 2 5 2" xfId="3945"/>
    <cellStyle name="SAPBEXHLevel3X 2 5 2 2" xfId="6902"/>
    <cellStyle name="SAPBEXHLevel3X 2 5 3" xfId="5354"/>
    <cellStyle name="SAPBEXHLevel3X 2 6" xfId="2525"/>
    <cellStyle name="SAPBEXHLevel3X 2 6 2" xfId="4139"/>
    <cellStyle name="SAPBEXHLevel3X 2 6 2 2" xfId="7094"/>
    <cellStyle name="SAPBEXHLevel3X 2 6 3" xfId="5553"/>
    <cellStyle name="SAPBEXHLevel3X 2 7" xfId="2821"/>
    <cellStyle name="SAPBEXHLevel3X 2 7 2" xfId="5809"/>
    <cellStyle name="SAPBEXHLevel3X 2 8" xfId="4350"/>
    <cellStyle name="SAPBEXHLevel3X 3" xfId="982"/>
    <cellStyle name="SAPBEXHLevel3X 3 2" xfId="1553"/>
    <cellStyle name="SAPBEXHLevel3X 3 2 2" xfId="3236"/>
    <cellStyle name="SAPBEXHLevel3X 3 2 2 2" xfId="6208"/>
    <cellStyle name="SAPBEXHLevel3X 3 2 3" xfId="4695"/>
    <cellStyle name="SAPBEXHLevel3X 3 3" xfId="1724"/>
    <cellStyle name="SAPBEXHLevel3X 3 3 2" xfId="3395"/>
    <cellStyle name="SAPBEXHLevel3X 3 3 2 2" xfId="6365"/>
    <cellStyle name="SAPBEXHLevel3X 3 4" xfId="1948"/>
    <cellStyle name="SAPBEXHLevel3X 3 4 2" xfId="3600"/>
    <cellStyle name="SAPBEXHLevel3X 3 4 2 2" xfId="6566"/>
    <cellStyle name="SAPBEXHLevel3X 3 4 3" xfId="5002"/>
    <cellStyle name="SAPBEXHLevel3X 3 5" xfId="2164"/>
    <cellStyle name="SAPBEXHLevel3X 3 5 2" xfId="3802"/>
    <cellStyle name="SAPBEXHLevel3X 3 5 2 2" xfId="6762"/>
    <cellStyle name="SAPBEXHLevel3X 3 5 3" xfId="5207"/>
    <cellStyle name="SAPBEXHLevel3X 3 6" xfId="2376"/>
    <cellStyle name="SAPBEXHLevel3X 3 6 2" xfId="4001"/>
    <cellStyle name="SAPBEXHLevel3X 3 6 2 2" xfId="6957"/>
    <cellStyle name="SAPBEXHLevel3X 3 6 3" xfId="5409"/>
    <cellStyle name="SAPBEXHLevel3X 3 7" xfId="2581"/>
    <cellStyle name="SAPBEXHLevel3X 3 7 2" xfId="5608"/>
    <cellStyle name="SAPBEXHLevel3X 3 8" xfId="2878"/>
    <cellStyle name="SAPBEXHLevel3X 3 8 2" xfId="5864"/>
    <cellStyle name="SAPBEXHLevel3X 4" xfId="1441"/>
    <cellStyle name="SAPBEXHLevel3X 4 2" xfId="3153"/>
    <cellStyle name="SAPBEXHLevel3X 4 2 2" xfId="6128"/>
    <cellStyle name="SAPBEXHLevel3X 4 3" xfId="4618"/>
    <cellStyle name="SAPBEXHLevel3X 5" xfId="390"/>
    <cellStyle name="SAPBEXHLevel3X 5 2" xfId="2775"/>
    <cellStyle name="SAPBEXHLevel3X 5 2 2" xfId="5764"/>
    <cellStyle name="SAPBEXHLevel3X 5 3" xfId="4273"/>
    <cellStyle name="SAPBEXHLevel3X 6" xfId="1863"/>
    <cellStyle name="SAPBEXHLevel3X 6 2" xfId="3524"/>
    <cellStyle name="SAPBEXHLevel3X 6 2 2" xfId="6492"/>
    <cellStyle name="SAPBEXHLevel3X 6 3" xfId="4920"/>
    <cellStyle name="SAPBEXHLevel3X 7" xfId="2080"/>
    <cellStyle name="SAPBEXHLevel3X 7 2" xfId="3725"/>
    <cellStyle name="SAPBEXHLevel3X 7 2 2" xfId="6688"/>
    <cellStyle name="SAPBEXHLevel3X 7 3" xfId="5127"/>
    <cellStyle name="SAPBEXHLevel3X 8" xfId="2296"/>
    <cellStyle name="SAPBEXHLevel3X 8 2" xfId="3927"/>
    <cellStyle name="SAPBEXHLevel3X 8 2 2" xfId="6884"/>
    <cellStyle name="SAPBEXHLevel3X 8 3" xfId="5332"/>
    <cellStyle name="SAPBEXHLevel3X 9" xfId="2760"/>
    <cellStyle name="SAPBEXHLevel3X 9 2" xfId="5749"/>
    <cellStyle name="SAPBEXresData" xfId="256"/>
    <cellStyle name="SAPBEXresData 2" xfId="911"/>
    <cellStyle name="SAPBEXresData 2 2" xfId="1661"/>
    <cellStyle name="SAPBEXresData 2 2 2" xfId="3337"/>
    <cellStyle name="SAPBEXresData 2 2 2 2" xfId="6308"/>
    <cellStyle name="SAPBEXresData 2 2 3" xfId="4778"/>
    <cellStyle name="SAPBEXresData 2 3" xfId="1888"/>
    <cellStyle name="SAPBEXresData 2 3 2" xfId="3542"/>
    <cellStyle name="SAPBEXresData 2 3 2 2" xfId="6509"/>
    <cellStyle name="SAPBEXresData 2 3 3" xfId="4943"/>
    <cellStyle name="SAPBEXresData 2 4" xfId="2106"/>
    <cellStyle name="SAPBEXresData 2 4 2" xfId="3744"/>
    <cellStyle name="SAPBEXresData 2 4 2 2" xfId="6706"/>
    <cellStyle name="SAPBEXresData 2 4 3" xfId="5151"/>
    <cellStyle name="SAPBEXresData 2 5" xfId="2319"/>
    <cellStyle name="SAPBEXresData 2 5 2" xfId="3944"/>
    <cellStyle name="SAPBEXresData 2 5 2 2" xfId="6901"/>
    <cellStyle name="SAPBEXresData 2 5 3" xfId="5353"/>
    <cellStyle name="SAPBEXresData 2 6" xfId="2524"/>
    <cellStyle name="SAPBEXresData 2 6 2" xfId="4138"/>
    <cellStyle name="SAPBEXresData 2 6 2 2" xfId="7093"/>
    <cellStyle name="SAPBEXresData 2 6 3" xfId="5552"/>
    <cellStyle name="SAPBEXresData 2 7" xfId="2820"/>
    <cellStyle name="SAPBEXresData 2 7 2" xfId="5808"/>
    <cellStyle name="SAPBEXresData 2 8" xfId="4349"/>
    <cellStyle name="SAPBEXresData 3" xfId="983"/>
    <cellStyle name="SAPBEXresData 3 2" xfId="1554"/>
    <cellStyle name="SAPBEXresData 3 2 2" xfId="3237"/>
    <cellStyle name="SAPBEXresData 3 2 2 2" xfId="6209"/>
    <cellStyle name="SAPBEXresData 3 2 3" xfId="4696"/>
    <cellStyle name="SAPBEXresData 3 3" xfId="1725"/>
    <cellStyle name="SAPBEXresData 3 3 2" xfId="3396"/>
    <cellStyle name="SAPBEXresData 3 3 2 2" xfId="6366"/>
    <cellStyle name="SAPBEXresData 3 4" xfId="1949"/>
    <cellStyle name="SAPBEXresData 3 4 2" xfId="3601"/>
    <cellStyle name="SAPBEXresData 3 4 2 2" xfId="6567"/>
    <cellStyle name="SAPBEXresData 3 4 3" xfId="5003"/>
    <cellStyle name="SAPBEXresData 3 5" xfId="2165"/>
    <cellStyle name="SAPBEXresData 3 5 2" xfId="3803"/>
    <cellStyle name="SAPBEXresData 3 5 2 2" xfId="6763"/>
    <cellStyle name="SAPBEXresData 3 5 3" xfId="5208"/>
    <cellStyle name="SAPBEXresData 3 6" xfId="2377"/>
    <cellStyle name="SAPBEXresData 3 6 2" xfId="4002"/>
    <cellStyle name="SAPBEXresData 3 6 2 2" xfId="6958"/>
    <cellStyle name="SAPBEXresData 3 6 3" xfId="5410"/>
    <cellStyle name="SAPBEXresData 3 7" xfId="2582"/>
    <cellStyle name="SAPBEXresData 3 7 2" xfId="5609"/>
    <cellStyle name="SAPBEXresData 3 8" xfId="2879"/>
    <cellStyle name="SAPBEXresData 3 8 2" xfId="5865"/>
    <cellStyle name="SAPBEXresData 4" xfId="1440"/>
    <cellStyle name="SAPBEXresData 4 2" xfId="3152"/>
    <cellStyle name="SAPBEXresData 4 2 2" xfId="6127"/>
    <cellStyle name="SAPBEXresData 4 3" xfId="4617"/>
    <cellStyle name="SAPBEXresData 5" xfId="1533"/>
    <cellStyle name="SAPBEXresData 5 2" xfId="3218"/>
    <cellStyle name="SAPBEXresData 5 2 2" xfId="6191"/>
    <cellStyle name="SAPBEXresData 5 3" xfId="4679"/>
    <cellStyle name="SAPBEXresData 6" xfId="1384"/>
    <cellStyle name="SAPBEXresData 6 2" xfId="3115"/>
    <cellStyle name="SAPBEXresData 6 2 2" xfId="6091"/>
    <cellStyle name="SAPBEXresData 6 3" xfId="4575"/>
    <cellStyle name="SAPBEXresData 7" xfId="1286"/>
    <cellStyle name="SAPBEXresData 7 2" xfId="3089"/>
    <cellStyle name="SAPBEXresData 7 2 2" xfId="6066"/>
    <cellStyle name="SAPBEXresData 7 3" xfId="4540"/>
    <cellStyle name="SAPBEXresData 8" xfId="1366"/>
    <cellStyle name="SAPBEXresData 8 2" xfId="3106"/>
    <cellStyle name="SAPBEXresData 8 2 2" xfId="6083"/>
    <cellStyle name="SAPBEXresData 8 3" xfId="4567"/>
    <cellStyle name="SAPBEXresData 9" xfId="2761"/>
    <cellStyle name="SAPBEXresData 9 2" xfId="5750"/>
    <cellStyle name="SAPBEXresDataEmph" xfId="257"/>
    <cellStyle name="SAPBEXresDataEmph 2" xfId="910"/>
    <cellStyle name="SAPBEXresDataEmph 2 2" xfId="1660"/>
    <cellStyle name="SAPBEXresDataEmph 2 2 2" xfId="3336"/>
    <cellStyle name="SAPBEXresDataEmph 2 2 2 2" xfId="6307"/>
    <cellStyle name="SAPBEXresDataEmph 2 2 3" xfId="4777"/>
    <cellStyle name="SAPBEXresDataEmph 2 3" xfId="1887"/>
    <cellStyle name="SAPBEXresDataEmph 2 3 2" xfId="3541"/>
    <cellStyle name="SAPBEXresDataEmph 2 3 2 2" xfId="6508"/>
    <cellStyle name="SAPBEXresDataEmph 2 3 3" xfId="4942"/>
    <cellStyle name="SAPBEXresDataEmph 2 4" xfId="2105"/>
    <cellStyle name="SAPBEXresDataEmph 2 4 2" xfId="3743"/>
    <cellStyle name="SAPBEXresDataEmph 2 4 2 2" xfId="6705"/>
    <cellStyle name="SAPBEXresDataEmph 2 4 3" xfId="5150"/>
    <cellStyle name="SAPBEXresDataEmph 2 5" xfId="2318"/>
    <cellStyle name="SAPBEXresDataEmph 2 5 2" xfId="3943"/>
    <cellStyle name="SAPBEXresDataEmph 2 5 2 2" xfId="6900"/>
    <cellStyle name="SAPBEXresDataEmph 2 5 3" xfId="5352"/>
    <cellStyle name="SAPBEXresDataEmph 2 6" xfId="2523"/>
    <cellStyle name="SAPBEXresDataEmph 2 6 2" xfId="4137"/>
    <cellStyle name="SAPBEXresDataEmph 2 6 2 2" xfId="7092"/>
    <cellStyle name="SAPBEXresDataEmph 2 6 3" xfId="5551"/>
    <cellStyle name="SAPBEXresDataEmph 2 7" xfId="2819"/>
    <cellStyle name="SAPBEXresDataEmph 2 7 2" xfId="5807"/>
    <cellStyle name="SAPBEXresDataEmph 2 8" xfId="4348"/>
    <cellStyle name="SAPBEXresDataEmph 3" xfId="984"/>
    <cellStyle name="SAPBEXresDataEmph 3 2" xfId="1555"/>
    <cellStyle name="SAPBEXresDataEmph 3 2 2" xfId="3238"/>
    <cellStyle name="SAPBEXresDataEmph 3 2 2 2" xfId="6210"/>
    <cellStyle name="SAPBEXresDataEmph 3 2 3" xfId="4697"/>
    <cellStyle name="SAPBEXresDataEmph 3 3" xfId="1726"/>
    <cellStyle name="SAPBEXresDataEmph 3 3 2" xfId="3397"/>
    <cellStyle name="SAPBEXresDataEmph 3 3 2 2" xfId="6367"/>
    <cellStyle name="SAPBEXresDataEmph 3 4" xfId="1950"/>
    <cellStyle name="SAPBEXresDataEmph 3 4 2" xfId="3602"/>
    <cellStyle name="SAPBEXresDataEmph 3 4 2 2" xfId="6568"/>
    <cellStyle name="SAPBEXresDataEmph 3 4 3" xfId="5004"/>
    <cellStyle name="SAPBEXresDataEmph 3 5" xfId="2166"/>
    <cellStyle name="SAPBEXresDataEmph 3 5 2" xfId="3804"/>
    <cellStyle name="SAPBEXresDataEmph 3 5 2 2" xfId="6764"/>
    <cellStyle name="SAPBEXresDataEmph 3 5 3" xfId="5209"/>
    <cellStyle name="SAPBEXresDataEmph 3 6" xfId="2378"/>
    <cellStyle name="SAPBEXresDataEmph 3 6 2" xfId="4003"/>
    <cellStyle name="SAPBEXresDataEmph 3 6 2 2" xfId="6959"/>
    <cellStyle name="SAPBEXresDataEmph 3 6 3" xfId="5411"/>
    <cellStyle name="SAPBEXresDataEmph 3 7" xfId="2583"/>
    <cellStyle name="SAPBEXresDataEmph 3 7 2" xfId="5610"/>
    <cellStyle name="SAPBEXresDataEmph 3 8" xfId="2880"/>
    <cellStyle name="SAPBEXresDataEmph 3 8 2" xfId="5866"/>
    <cellStyle name="SAPBEXresDataEmph 4" xfId="1439"/>
    <cellStyle name="SAPBEXresDataEmph 4 2" xfId="3151"/>
    <cellStyle name="SAPBEXresDataEmph 4 2 2" xfId="6126"/>
    <cellStyle name="SAPBEXresDataEmph 4 3" xfId="4616"/>
    <cellStyle name="SAPBEXresDataEmph 5" xfId="1267"/>
    <cellStyle name="SAPBEXresDataEmph 5 2" xfId="3083"/>
    <cellStyle name="SAPBEXresDataEmph 5 2 2" xfId="6061"/>
    <cellStyle name="SAPBEXresDataEmph 5 3" xfId="4528"/>
    <cellStyle name="SAPBEXresDataEmph 6" xfId="1561"/>
    <cellStyle name="SAPBEXresDataEmph 6 2" xfId="3244"/>
    <cellStyle name="SAPBEXresDataEmph 6 2 2" xfId="6216"/>
    <cellStyle name="SAPBEXresDataEmph 6 3" xfId="4703"/>
    <cellStyle name="SAPBEXresDataEmph 7" xfId="1136"/>
    <cellStyle name="SAPBEXresDataEmph 7 2" xfId="3011"/>
    <cellStyle name="SAPBEXresDataEmph 7 2 2" xfId="5994"/>
    <cellStyle name="SAPBEXresDataEmph 7 3" xfId="4437"/>
    <cellStyle name="SAPBEXresDataEmph 8" xfId="1365"/>
    <cellStyle name="SAPBEXresDataEmph 8 2" xfId="3105"/>
    <cellStyle name="SAPBEXresDataEmph 8 2 2" xfId="6082"/>
    <cellStyle name="SAPBEXresDataEmph 8 3" xfId="4566"/>
    <cellStyle name="SAPBEXresDataEmph 9" xfId="2762"/>
    <cellStyle name="SAPBEXresDataEmph 9 2" xfId="5751"/>
    <cellStyle name="SAPBEXresItem" xfId="258"/>
    <cellStyle name="SAPBEXresItem 2" xfId="909"/>
    <cellStyle name="SAPBEXresItem 2 2" xfId="1659"/>
    <cellStyle name="SAPBEXresItem 2 2 2" xfId="3335"/>
    <cellStyle name="SAPBEXresItem 2 2 2 2" xfId="6306"/>
    <cellStyle name="SAPBEXresItem 2 2 3" xfId="4776"/>
    <cellStyle name="SAPBEXresItem 2 3" xfId="1886"/>
    <cellStyle name="SAPBEXresItem 2 3 2" xfId="3540"/>
    <cellStyle name="SAPBEXresItem 2 3 2 2" xfId="6507"/>
    <cellStyle name="SAPBEXresItem 2 3 3" xfId="4941"/>
    <cellStyle name="SAPBEXresItem 2 4" xfId="2104"/>
    <cellStyle name="SAPBEXresItem 2 4 2" xfId="3742"/>
    <cellStyle name="SAPBEXresItem 2 4 2 2" xfId="6704"/>
    <cellStyle name="SAPBEXresItem 2 4 3" xfId="5149"/>
    <cellStyle name="SAPBEXresItem 2 5" xfId="2317"/>
    <cellStyle name="SAPBEXresItem 2 5 2" xfId="3942"/>
    <cellStyle name="SAPBEXresItem 2 5 2 2" xfId="6899"/>
    <cellStyle name="SAPBEXresItem 2 5 3" xfId="5351"/>
    <cellStyle name="SAPBEXresItem 2 6" xfId="2522"/>
    <cellStyle name="SAPBEXresItem 2 6 2" xfId="4136"/>
    <cellStyle name="SAPBEXresItem 2 6 2 2" xfId="7091"/>
    <cellStyle name="SAPBEXresItem 2 6 3" xfId="5550"/>
    <cellStyle name="SAPBEXresItem 2 7" xfId="2818"/>
    <cellStyle name="SAPBEXresItem 2 7 2" xfId="5806"/>
    <cellStyle name="SAPBEXresItem 2 8" xfId="4347"/>
    <cellStyle name="SAPBEXresItem 3" xfId="985"/>
    <cellStyle name="SAPBEXresItem 3 2" xfId="1556"/>
    <cellStyle name="SAPBEXresItem 3 2 2" xfId="3239"/>
    <cellStyle name="SAPBEXresItem 3 2 2 2" xfId="6211"/>
    <cellStyle name="SAPBEXresItem 3 2 3" xfId="4698"/>
    <cellStyle name="SAPBEXresItem 3 3" xfId="1727"/>
    <cellStyle name="SAPBEXresItem 3 3 2" xfId="3398"/>
    <cellStyle name="SAPBEXresItem 3 3 2 2" xfId="6368"/>
    <cellStyle name="SAPBEXresItem 3 4" xfId="1951"/>
    <cellStyle name="SAPBEXresItem 3 4 2" xfId="3603"/>
    <cellStyle name="SAPBEXresItem 3 4 2 2" xfId="6569"/>
    <cellStyle name="SAPBEXresItem 3 4 3" xfId="5005"/>
    <cellStyle name="SAPBEXresItem 3 5" xfId="2167"/>
    <cellStyle name="SAPBEXresItem 3 5 2" xfId="3805"/>
    <cellStyle name="SAPBEXresItem 3 5 2 2" xfId="6765"/>
    <cellStyle name="SAPBEXresItem 3 5 3" xfId="5210"/>
    <cellStyle name="SAPBEXresItem 3 6" xfId="2379"/>
    <cellStyle name="SAPBEXresItem 3 6 2" xfId="4004"/>
    <cellStyle name="SAPBEXresItem 3 6 2 2" xfId="6960"/>
    <cellStyle name="SAPBEXresItem 3 6 3" xfId="5412"/>
    <cellStyle name="SAPBEXresItem 3 7" xfId="2584"/>
    <cellStyle name="SAPBEXresItem 3 7 2" xfId="5611"/>
    <cellStyle name="SAPBEXresItem 3 8" xfId="2881"/>
    <cellStyle name="SAPBEXresItem 3 8 2" xfId="5867"/>
    <cellStyle name="SAPBEXresItem 4" xfId="1438"/>
    <cellStyle name="SAPBEXresItem 4 2" xfId="3150"/>
    <cellStyle name="SAPBEXresItem 4 2 2" xfId="6125"/>
    <cellStyle name="SAPBEXresItem 4 3" xfId="4615"/>
    <cellStyle name="SAPBEXresItem 5" xfId="1268"/>
    <cellStyle name="SAPBEXresItem 5 2" xfId="3084"/>
    <cellStyle name="SAPBEXresItem 5 2 2" xfId="6062"/>
    <cellStyle name="SAPBEXresItem 5 3" xfId="4529"/>
    <cellStyle name="SAPBEXresItem 6" xfId="1491"/>
    <cellStyle name="SAPBEXresItem 6 2" xfId="3193"/>
    <cellStyle name="SAPBEXresItem 6 2 2" xfId="6167"/>
    <cellStyle name="SAPBEXresItem 6 3" xfId="4645"/>
    <cellStyle name="SAPBEXresItem 7" xfId="1137"/>
    <cellStyle name="SAPBEXresItem 7 2" xfId="3012"/>
    <cellStyle name="SAPBEXresItem 7 2 2" xfId="5995"/>
    <cellStyle name="SAPBEXresItem 7 3" xfId="4438"/>
    <cellStyle name="SAPBEXresItem 8" xfId="1364"/>
    <cellStyle name="SAPBEXresItem 8 2" xfId="3104"/>
    <cellStyle name="SAPBEXresItem 8 2 2" xfId="6081"/>
    <cellStyle name="SAPBEXresItem 8 3" xfId="4565"/>
    <cellStyle name="SAPBEXresItem 9" xfId="2763"/>
    <cellStyle name="SAPBEXresItem 9 2" xfId="5752"/>
    <cellStyle name="SAPBEXresItemX" xfId="259"/>
    <cellStyle name="SAPBEXresItemX 2" xfId="902"/>
    <cellStyle name="SAPBEXresItemX 2 2" xfId="1652"/>
    <cellStyle name="SAPBEXresItemX 2 2 2" xfId="3328"/>
    <cellStyle name="SAPBEXresItemX 2 2 2 2" xfId="6299"/>
    <cellStyle name="SAPBEXresItemX 2 2 3" xfId="4770"/>
    <cellStyle name="SAPBEXresItemX 2 3" xfId="1879"/>
    <cellStyle name="SAPBEXresItemX 2 3 2" xfId="3533"/>
    <cellStyle name="SAPBEXresItemX 2 3 2 2" xfId="6500"/>
    <cellStyle name="SAPBEXresItemX 2 3 3" xfId="4934"/>
    <cellStyle name="SAPBEXresItemX 2 4" xfId="2097"/>
    <cellStyle name="SAPBEXresItemX 2 4 2" xfId="3735"/>
    <cellStyle name="SAPBEXresItemX 2 4 2 2" xfId="6697"/>
    <cellStyle name="SAPBEXresItemX 2 4 3" xfId="5142"/>
    <cellStyle name="SAPBEXresItemX 2 5" xfId="2310"/>
    <cellStyle name="SAPBEXresItemX 2 5 2" xfId="3935"/>
    <cellStyle name="SAPBEXresItemX 2 5 2 2" xfId="6892"/>
    <cellStyle name="SAPBEXresItemX 2 5 3" xfId="5344"/>
    <cellStyle name="SAPBEXresItemX 2 6" xfId="2515"/>
    <cellStyle name="SAPBEXresItemX 2 6 2" xfId="4130"/>
    <cellStyle name="SAPBEXresItemX 2 6 2 2" xfId="7085"/>
    <cellStyle name="SAPBEXresItemX 2 6 3" xfId="5543"/>
    <cellStyle name="SAPBEXresItemX 2 7" xfId="2811"/>
    <cellStyle name="SAPBEXresItemX 2 7 2" xfId="5799"/>
    <cellStyle name="SAPBEXresItemX 2 8" xfId="4341"/>
    <cellStyle name="SAPBEXresItemX 3" xfId="951"/>
    <cellStyle name="SAPBEXresItemX 3 2" xfId="1530"/>
    <cellStyle name="SAPBEXresItemX 3 2 2" xfId="3215"/>
    <cellStyle name="SAPBEXresItemX 3 2 2 2" xfId="6188"/>
    <cellStyle name="SAPBEXresItemX 3 2 3" xfId="4676"/>
    <cellStyle name="SAPBEXresItemX 3 3" xfId="1701"/>
    <cellStyle name="SAPBEXresItemX 3 3 2" xfId="3377"/>
    <cellStyle name="SAPBEXresItemX 3 3 2 2" xfId="6347"/>
    <cellStyle name="SAPBEXresItemX 3 4" xfId="1928"/>
    <cellStyle name="SAPBEXresItemX 3 4 2" xfId="3582"/>
    <cellStyle name="SAPBEXresItemX 3 4 2 2" xfId="6548"/>
    <cellStyle name="SAPBEXresItemX 3 4 3" xfId="4982"/>
    <cellStyle name="SAPBEXresItemX 3 5" xfId="2146"/>
    <cellStyle name="SAPBEXresItemX 3 5 2" xfId="3784"/>
    <cellStyle name="SAPBEXresItemX 3 5 2 2" xfId="6745"/>
    <cellStyle name="SAPBEXresItemX 3 5 3" xfId="5190"/>
    <cellStyle name="SAPBEXresItemX 3 6" xfId="2359"/>
    <cellStyle name="SAPBEXresItemX 3 6 2" xfId="3984"/>
    <cellStyle name="SAPBEXresItemX 3 6 2 2" xfId="6940"/>
    <cellStyle name="SAPBEXresItemX 3 6 3" xfId="5392"/>
    <cellStyle name="SAPBEXresItemX 3 7" xfId="2564"/>
    <cellStyle name="SAPBEXresItemX 3 7 2" xfId="5591"/>
    <cellStyle name="SAPBEXresItemX 3 8" xfId="2860"/>
    <cellStyle name="SAPBEXresItemX 3 8 2" xfId="5847"/>
    <cellStyle name="SAPBEXresItemX 4" xfId="1437"/>
    <cellStyle name="SAPBEXresItemX 4 2" xfId="3149"/>
    <cellStyle name="SAPBEXresItemX 4 2 2" xfId="6124"/>
    <cellStyle name="SAPBEXresItemX 4 3" xfId="4614"/>
    <cellStyle name="SAPBEXresItemX 5" xfId="1269"/>
    <cellStyle name="SAPBEXresItemX 5 2" xfId="3085"/>
    <cellStyle name="SAPBEXresItemX 5 2 2" xfId="6063"/>
    <cellStyle name="SAPBEXresItemX 5 3" xfId="4530"/>
    <cellStyle name="SAPBEXresItemX 6" xfId="1484"/>
    <cellStyle name="SAPBEXresItemX 6 2" xfId="3187"/>
    <cellStyle name="SAPBEXresItemX 6 2 2" xfId="6161"/>
    <cellStyle name="SAPBEXresItemX 6 3" xfId="4639"/>
    <cellStyle name="SAPBEXresItemX 7" xfId="1138"/>
    <cellStyle name="SAPBEXresItemX 7 2" xfId="3013"/>
    <cellStyle name="SAPBEXresItemX 7 2 2" xfId="5996"/>
    <cellStyle name="SAPBEXresItemX 7 3" xfId="4439"/>
    <cellStyle name="SAPBEXresItemX 8" xfId="1363"/>
    <cellStyle name="SAPBEXresItemX 8 2" xfId="3103"/>
    <cellStyle name="SAPBEXresItemX 8 2 2" xfId="6080"/>
    <cellStyle name="SAPBEXresItemX 8 3" xfId="4564"/>
    <cellStyle name="SAPBEXresItemX 9" xfId="2764"/>
    <cellStyle name="SAPBEXresItemX 9 2" xfId="5753"/>
    <cellStyle name="SAPBEXstdData" xfId="260"/>
    <cellStyle name="SAPBEXstdData 10" xfId="1211"/>
    <cellStyle name="SAPBEXstdData 10 2" xfId="3052"/>
    <cellStyle name="SAPBEXstdData 10 2 2" xfId="6032"/>
    <cellStyle name="SAPBEXstdData 10 3" xfId="4486"/>
    <cellStyle name="SAPBEXstdData 11" xfId="1407"/>
    <cellStyle name="SAPBEXstdData 11 2" xfId="3130"/>
    <cellStyle name="SAPBEXstdData 11 2 2" xfId="6105"/>
    <cellStyle name="SAPBEXstdData 11 3" xfId="4592"/>
    <cellStyle name="SAPBEXstdData 12" xfId="2765"/>
    <cellStyle name="SAPBEXstdData 12 2" xfId="5754"/>
    <cellStyle name="SAPBEXstdData 2" xfId="836"/>
    <cellStyle name="SAPBEXstdData 2 10" xfId="2480"/>
    <cellStyle name="SAPBEXstdData 2 10 2" xfId="4103"/>
    <cellStyle name="SAPBEXstdData 2 10 2 2" xfId="7058"/>
    <cellStyle name="SAPBEXstdData 2 10 3" xfId="5510"/>
    <cellStyle name="SAPBEXstdData 2 11" xfId="2783"/>
    <cellStyle name="SAPBEXstdData 2 11 2" xfId="5771"/>
    <cellStyle name="SAPBEXstdData 2 2" xfId="1005"/>
    <cellStyle name="SAPBEXstdData 2 2 2" xfId="1574"/>
    <cellStyle name="SAPBEXstdData 2 2 2 2" xfId="3257"/>
    <cellStyle name="SAPBEXstdData 2 2 2 2 2" xfId="6229"/>
    <cellStyle name="SAPBEXstdData 2 2 3" xfId="1745"/>
    <cellStyle name="SAPBEXstdData 2 2 3 2" xfId="3416"/>
    <cellStyle name="SAPBEXstdData 2 2 3 2 2" xfId="6386"/>
    <cellStyle name="SAPBEXstdData 2 2 3 3" xfId="4822"/>
    <cellStyle name="SAPBEXstdData 2 2 4" xfId="1968"/>
    <cellStyle name="SAPBEXstdData 2 2 4 2" xfId="3620"/>
    <cellStyle name="SAPBEXstdData 2 2 4 2 2" xfId="6586"/>
    <cellStyle name="SAPBEXstdData 2 2 4 3" xfId="5022"/>
    <cellStyle name="SAPBEXstdData 2 2 5" xfId="2184"/>
    <cellStyle name="SAPBEXstdData 2 2 5 2" xfId="3822"/>
    <cellStyle name="SAPBEXstdData 2 2 5 2 2" xfId="6782"/>
    <cellStyle name="SAPBEXstdData 2 2 5 3" xfId="5227"/>
    <cellStyle name="SAPBEXstdData 2 2 6" xfId="2396"/>
    <cellStyle name="SAPBEXstdData 2 2 6 2" xfId="4021"/>
    <cellStyle name="SAPBEXstdData 2 2 6 2 2" xfId="6977"/>
    <cellStyle name="SAPBEXstdData 2 2 6 3" xfId="5429"/>
    <cellStyle name="SAPBEXstdData 2 2 7" xfId="2600"/>
    <cellStyle name="SAPBEXstdData 2 2 7 2" xfId="4166"/>
    <cellStyle name="SAPBEXstdData 2 2 7 2 2" xfId="7121"/>
    <cellStyle name="SAPBEXstdData 2 2 7 3" xfId="5627"/>
    <cellStyle name="SAPBEXstdData 2 2 8" xfId="2897"/>
    <cellStyle name="SAPBEXstdData 2 2 8 2" xfId="5883"/>
    <cellStyle name="SAPBEXstdData 2 3" xfId="968"/>
    <cellStyle name="SAPBEXstdData 2 3 2" xfId="1543"/>
    <cellStyle name="SAPBEXstdData 2 3 2 2" xfId="3227"/>
    <cellStyle name="SAPBEXstdData 2 3 2 2 2" xfId="6200"/>
    <cellStyle name="SAPBEXstdData 2 3 2 3" xfId="4688"/>
    <cellStyle name="SAPBEXstdData 2 3 3" xfId="1715"/>
    <cellStyle name="SAPBEXstdData 2 3 3 2" xfId="3388"/>
    <cellStyle name="SAPBEXstdData 2 3 3 2 2" xfId="6358"/>
    <cellStyle name="SAPBEXstdData 2 3 3 3" xfId="4815"/>
    <cellStyle name="SAPBEXstdData 2 3 4" xfId="1939"/>
    <cellStyle name="SAPBEXstdData 2 3 4 2" xfId="3593"/>
    <cellStyle name="SAPBEXstdData 2 3 4 2 2" xfId="6559"/>
    <cellStyle name="SAPBEXstdData 2 3 4 3" xfId="4993"/>
    <cellStyle name="SAPBEXstdData 2 3 5" xfId="2156"/>
    <cellStyle name="SAPBEXstdData 2 3 5 2" xfId="3794"/>
    <cellStyle name="SAPBEXstdData 2 3 5 2 2" xfId="6755"/>
    <cellStyle name="SAPBEXstdData 2 3 5 3" xfId="5200"/>
    <cellStyle name="SAPBEXstdData 2 3 6" xfId="2369"/>
    <cellStyle name="SAPBEXstdData 2 3 6 2" xfId="3994"/>
    <cellStyle name="SAPBEXstdData 2 3 6 2 2" xfId="6950"/>
    <cellStyle name="SAPBEXstdData 2 3 6 3" xfId="5402"/>
    <cellStyle name="SAPBEXstdData 2 3 7" xfId="2574"/>
    <cellStyle name="SAPBEXstdData 2 3 7 2" xfId="5601"/>
    <cellStyle name="SAPBEXstdData 2 3 8" xfId="2870"/>
    <cellStyle name="SAPBEXstdData 2 3 8 2" xfId="5857"/>
    <cellStyle name="SAPBEXstdData 2 4" xfId="1057"/>
    <cellStyle name="SAPBEXstdData 2 4 2" xfId="1618"/>
    <cellStyle name="SAPBEXstdData 2 4 2 2" xfId="3299"/>
    <cellStyle name="SAPBEXstdData 2 4 2 2 2" xfId="6270"/>
    <cellStyle name="SAPBEXstdData 2 4 2 3" xfId="4738"/>
    <cellStyle name="SAPBEXstdData 2 4 3" xfId="1797"/>
    <cellStyle name="SAPBEXstdData 2 4 3 2" xfId="3468"/>
    <cellStyle name="SAPBEXstdData 2 4 3 2 2" xfId="6437"/>
    <cellStyle name="SAPBEXstdData 2 4 3 3" xfId="4866"/>
    <cellStyle name="SAPBEXstdData 2 4 4" xfId="2020"/>
    <cellStyle name="SAPBEXstdData 2 4 4 2" xfId="3672"/>
    <cellStyle name="SAPBEXstdData 2 4 4 2 2" xfId="6636"/>
    <cellStyle name="SAPBEXstdData 2 4 4 3" xfId="5072"/>
    <cellStyle name="SAPBEXstdData 2 4 5" xfId="2236"/>
    <cellStyle name="SAPBEXstdData 2 4 5 2" xfId="3874"/>
    <cellStyle name="SAPBEXstdData 2 4 5 2 2" xfId="6832"/>
    <cellStyle name="SAPBEXstdData 2 4 5 3" xfId="5277"/>
    <cellStyle name="SAPBEXstdData 2 4 6" xfId="2448"/>
    <cellStyle name="SAPBEXstdData 2 4 6 2" xfId="4073"/>
    <cellStyle name="SAPBEXstdData 2 4 6 2 2" xfId="7028"/>
    <cellStyle name="SAPBEXstdData 2 4 6 3" xfId="5480"/>
    <cellStyle name="SAPBEXstdData 2 4 7" xfId="2652"/>
    <cellStyle name="SAPBEXstdData 2 4 7 2" xfId="5678"/>
    <cellStyle name="SAPBEXstdData 2 4 8" xfId="2949"/>
    <cellStyle name="SAPBEXstdData 2 4 8 2" xfId="5934"/>
    <cellStyle name="SAPBEXstdData 2 5" xfId="1456"/>
    <cellStyle name="SAPBEXstdData 2 5 2" xfId="3165"/>
    <cellStyle name="SAPBEXstdData 2 5 2 2" xfId="6139"/>
    <cellStyle name="SAPBEXstdData 2 6" xfId="1227"/>
    <cellStyle name="SAPBEXstdData 2 6 2" xfId="3059"/>
    <cellStyle name="SAPBEXstdData 2 6 2 2" xfId="6039"/>
    <cellStyle name="SAPBEXstdData 2 6 3" xfId="4498"/>
    <cellStyle name="SAPBEXstdData 2 7" xfId="1837"/>
    <cellStyle name="SAPBEXstdData 2 7 2" xfId="3502"/>
    <cellStyle name="SAPBEXstdData 2 7 2 2" xfId="6470"/>
    <cellStyle name="SAPBEXstdData 2 7 3" xfId="4896"/>
    <cellStyle name="SAPBEXstdData 2 8" xfId="2054"/>
    <cellStyle name="SAPBEXstdData 2 8 2" xfId="3703"/>
    <cellStyle name="SAPBEXstdData 2 8 2 2" xfId="6666"/>
    <cellStyle name="SAPBEXstdData 2 8 3" xfId="5103"/>
    <cellStyle name="SAPBEXstdData 2 9" xfId="2271"/>
    <cellStyle name="SAPBEXstdData 2 9 2" xfId="3905"/>
    <cellStyle name="SAPBEXstdData 2 9 2 2" xfId="6862"/>
    <cellStyle name="SAPBEXstdData 2 9 3" xfId="5308"/>
    <cellStyle name="SAPBEXstdData 3" xfId="847"/>
    <cellStyle name="SAPBEXstdData 3 10" xfId="2488"/>
    <cellStyle name="SAPBEXstdData 3 10 2" xfId="4111"/>
    <cellStyle name="SAPBEXstdData 3 10 2 2" xfId="7066"/>
    <cellStyle name="SAPBEXstdData 3 10 3" xfId="5518"/>
    <cellStyle name="SAPBEXstdData 3 11" xfId="2791"/>
    <cellStyle name="SAPBEXstdData 3 11 2" xfId="5779"/>
    <cellStyle name="SAPBEXstdData 3 2" xfId="1013"/>
    <cellStyle name="SAPBEXstdData 3 2 2" xfId="1579"/>
    <cellStyle name="SAPBEXstdData 3 2 2 2" xfId="3262"/>
    <cellStyle name="SAPBEXstdData 3 2 2 2 2" xfId="6234"/>
    <cellStyle name="SAPBEXstdData 3 2 3" xfId="1753"/>
    <cellStyle name="SAPBEXstdData 3 2 3 2" xfId="3424"/>
    <cellStyle name="SAPBEXstdData 3 2 3 2 2" xfId="6394"/>
    <cellStyle name="SAPBEXstdData 3 2 3 3" xfId="4830"/>
    <cellStyle name="SAPBEXstdData 3 2 4" xfId="1976"/>
    <cellStyle name="SAPBEXstdData 3 2 4 2" xfId="3628"/>
    <cellStyle name="SAPBEXstdData 3 2 4 2 2" xfId="6594"/>
    <cellStyle name="SAPBEXstdData 3 2 4 3" xfId="5030"/>
    <cellStyle name="SAPBEXstdData 3 2 5" xfId="2192"/>
    <cellStyle name="SAPBEXstdData 3 2 5 2" xfId="3830"/>
    <cellStyle name="SAPBEXstdData 3 2 5 2 2" xfId="6790"/>
    <cellStyle name="SAPBEXstdData 3 2 5 3" xfId="5235"/>
    <cellStyle name="SAPBEXstdData 3 2 6" xfId="2404"/>
    <cellStyle name="SAPBEXstdData 3 2 6 2" xfId="4029"/>
    <cellStyle name="SAPBEXstdData 3 2 6 2 2" xfId="6985"/>
    <cellStyle name="SAPBEXstdData 3 2 6 3" xfId="5437"/>
    <cellStyle name="SAPBEXstdData 3 2 7" xfId="2608"/>
    <cellStyle name="SAPBEXstdData 3 2 7 2" xfId="4174"/>
    <cellStyle name="SAPBEXstdData 3 2 7 2 2" xfId="7129"/>
    <cellStyle name="SAPBEXstdData 3 2 7 3" xfId="5635"/>
    <cellStyle name="SAPBEXstdData 3 2 8" xfId="2905"/>
    <cellStyle name="SAPBEXstdData 3 2 8 2" xfId="5891"/>
    <cellStyle name="SAPBEXstdData 3 3" xfId="1033"/>
    <cellStyle name="SAPBEXstdData 3 3 2" xfId="1595"/>
    <cellStyle name="SAPBEXstdData 3 3 2 2" xfId="3277"/>
    <cellStyle name="SAPBEXstdData 3 3 2 2 2" xfId="6249"/>
    <cellStyle name="SAPBEXstdData 3 3 2 3" xfId="4717"/>
    <cellStyle name="SAPBEXstdData 3 3 3" xfId="1773"/>
    <cellStyle name="SAPBEXstdData 3 3 3 2" xfId="3444"/>
    <cellStyle name="SAPBEXstdData 3 3 3 2 2" xfId="6414"/>
    <cellStyle name="SAPBEXstdData 3 3 3 3" xfId="4850"/>
    <cellStyle name="SAPBEXstdData 3 3 4" xfId="1996"/>
    <cellStyle name="SAPBEXstdData 3 3 4 2" xfId="3648"/>
    <cellStyle name="SAPBEXstdData 3 3 4 2 2" xfId="6613"/>
    <cellStyle name="SAPBEXstdData 3 3 4 3" xfId="5049"/>
    <cellStyle name="SAPBEXstdData 3 3 5" xfId="2212"/>
    <cellStyle name="SAPBEXstdData 3 3 5 2" xfId="3850"/>
    <cellStyle name="SAPBEXstdData 3 3 5 2 2" xfId="6809"/>
    <cellStyle name="SAPBEXstdData 3 3 5 3" xfId="5254"/>
    <cellStyle name="SAPBEXstdData 3 3 6" xfId="2424"/>
    <cellStyle name="SAPBEXstdData 3 3 6 2" xfId="4049"/>
    <cellStyle name="SAPBEXstdData 3 3 6 2 2" xfId="7005"/>
    <cellStyle name="SAPBEXstdData 3 3 6 3" xfId="5457"/>
    <cellStyle name="SAPBEXstdData 3 3 7" xfId="2628"/>
    <cellStyle name="SAPBEXstdData 3 3 7 2" xfId="5655"/>
    <cellStyle name="SAPBEXstdData 3 3 8" xfId="2925"/>
    <cellStyle name="SAPBEXstdData 3 3 8 2" xfId="5911"/>
    <cellStyle name="SAPBEXstdData 3 4" xfId="1065"/>
    <cellStyle name="SAPBEXstdData 3 4 2" xfId="1626"/>
    <cellStyle name="SAPBEXstdData 3 4 2 2" xfId="3307"/>
    <cellStyle name="SAPBEXstdData 3 4 2 2 2" xfId="6278"/>
    <cellStyle name="SAPBEXstdData 3 4 2 3" xfId="4746"/>
    <cellStyle name="SAPBEXstdData 3 4 3" xfId="1805"/>
    <cellStyle name="SAPBEXstdData 3 4 3 2" xfId="3476"/>
    <cellStyle name="SAPBEXstdData 3 4 3 2 2" xfId="6445"/>
    <cellStyle name="SAPBEXstdData 3 4 3 3" xfId="4871"/>
    <cellStyle name="SAPBEXstdData 3 4 4" xfId="2028"/>
    <cellStyle name="SAPBEXstdData 3 4 4 2" xfId="3680"/>
    <cellStyle name="SAPBEXstdData 3 4 4 2 2" xfId="6644"/>
    <cellStyle name="SAPBEXstdData 3 4 4 3" xfId="5080"/>
    <cellStyle name="SAPBEXstdData 3 4 5" xfId="2244"/>
    <cellStyle name="SAPBEXstdData 3 4 5 2" xfId="3882"/>
    <cellStyle name="SAPBEXstdData 3 4 5 2 2" xfId="6840"/>
    <cellStyle name="SAPBEXstdData 3 4 5 3" xfId="5285"/>
    <cellStyle name="SAPBEXstdData 3 4 6" xfId="2456"/>
    <cellStyle name="SAPBEXstdData 3 4 6 2" xfId="4081"/>
    <cellStyle name="SAPBEXstdData 3 4 6 2 2" xfId="7036"/>
    <cellStyle name="SAPBEXstdData 3 4 6 3" xfId="5488"/>
    <cellStyle name="SAPBEXstdData 3 4 7" xfId="2660"/>
    <cellStyle name="SAPBEXstdData 3 4 7 2" xfId="5686"/>
    <cellStyle name="SAPBEXstdData 3 4 8" xfId="2957"/>
    <cellStyle name="SAPBEXstdData 3 4 8 2" xfId="5942"/>
    <cellStyle name="SAPBEXstdData 3 5" xfId="1462"/>
    <cellStyle name="SAPBEXstdData 3 5 2" xfId="3170"/>
    <cellStyle name="SAPBEXstdData 3 5 2 2" xfId="6144"/>
    <cellStyle name="SAPBEXstdData 3 6" xfId="1101"/>
    <cellStyle name="SAPBEXstdData 3 6 2" xfId="2990"/>
    <cellStyle name="SAPBEXstdData 3 6 2 2" xfId="5975"/>
    <cellStyle name="SAPBEXstdData 3 6 3" xfId="4411"/>
    <cellStyle name="SAPBEXstdData 3 7" xfId="1846"/>
    <cellStyle name="SAPBEXstdData 3 7 2" xfId="3510"/>
    <cellStyle name="SAPBEXstdData 3 7 2 2" xfId="6478"/>
    <cellStyle name="SAPBEXstdData 3 7 3" xfId="4904"/>
    <cellStyle name="SAPBEXstdData 3 8" xfId="2063"/>
    <cellStyle name="SAPBEXstdData 3 8 2" xfId="3711"/>
    <cellStyle name="SAPBEXstdData 3 8 2 2" xfId="6674"/>
    <cellStyle name="SAPBEXstdData 3 8 3" xfId="5111"/>
    <cellStyle name="SAPBEXstdData 3 9" xfId="2279"/>
    <cellStyle name="SAPBEXstdData 3 9 2" xfId="3913"/>
    <cellStyle name="SAPBEXstdData 3 9 2 2" xfId="6870"/>
    <cellStyle name="SAPBEXstdData 3 9 3" xfId="5316"/>
    <cellStyle name="SAPBEXstdData 4" xfId="854"/>
    <cellStyle name="SAPBEXstdData 4 10" xfId="2495"/>
    <cellStyle name="SAPBEXstdData 4 10 2" xfId="4118"/>
    <cellStyle name="SAPBEXstdData 4 10 2 2" xfId="7073"/>
    <cellStyle name="SAPBEXstdData 4 10 3" xfId="5525"/>
    <cellStyle name="SAPBEXstdData 4 11" xfId="2798"/>
    <cellStyle name="SAPBEXstdData 4 11 2" xfId="5786"/>
    <cellStyle name="SAPBEXstdData 4 2" xfId="1020"/>
    <cellStyle name="SAPBEXstdData 4 2 2" xfId="1586"/>
    <cellStyle name="SAPBEXstdData 4 2 2 2" xfId="3269"/>
    <cellStyle name="SAPBEXstdData 4 2 2 2 2" xfId="6241"/>
    <cellStyle name="SAPBEXstdData 4 2 3" xfId="1760"/>
    <cellStyle name="SAPBEXstdData 4 2 3 2" xfId="3431"/>
    <cellStyle name="SAPBEXstdData 4 2 3 2 2" xfId="6401"/>
    <cellStyle name="SAPBEXstdData 4 2 3 3" xfId="4837"/>
    <cellStyle name="SAPBEXstdData 4 2 4" xfId="1983"/>
    <cellStyle name="SAPBEXstdData 4 2 4 2" xfId="3635"/>
    <cellStyle name="SAPBEXstdData 4 2 4 2 2" xfId="6601"/>
    <cellStyle name="SAPBEXstdData 4 2 4 3" xfId="5037"/>
    <cellStyle name="SAPBEXstdData 4 2 5" xfId="2199"/>
    <cellStyle name="SAPBEXstdData 4 2 5 2" xfId="3837"/>
    <cellStyle name="SAPBEXstdData 4 2 5 2 2" xfId="6797"/>
    <cellStyle name="SAPBEXstdData 4 2 5 3" xfId="5242"/>
    <cellStyle name="SAPBEXstdData 4 2 6" xfId="2411"/>
    <cellStyle name="SAPBEXstdData 4 2 6 2" xfId="4036"/>
    <cellStyle name="SAPBEXstdData 4 2 6 2 2" xfId="6992"/>
    <cellStyle name="SAPBEXstdData 4 2 6 3" xfId="5444"/>
    <cellStyle name="SAPBEXstdData 4 2 7" xfId="2615"/>
    <cellStyle name="SAPBEXstdData 4 2 7 2" xfId="4181"/>
    <cellStyle name="SAPBEXstdData 4 2 7 2 2" xfId="7136"/>
    <cellStyle name="SAPBEXstdData 4 2 7 3" xfId="5642"/>
    <cellStyle name="SAPBEXstdData 4 2 8" xfId="2912"/>
    <cellStyle name="SAPBEXstdData 4 2 8 2" xfId="5898"/>
    <cellStyle name="SAPBEXstdData 4 3" xfId="1040"/>
    <cellStyle name="SAPBEXstdData 4 3 2" xfId="1602"/>
    <cellStyle name="SAPBEXstdData 4 3 2 2" xfId="3284"/>
    <cellStyle name="SAPBEXstdData 4 3 2 2 2" xfId="6256"/>
    <cellStyle name="SAPBEXstdData 4 3 2 3" xfId="4724"/>
    <cellStyle name="SAPBEXstdData 4 3 3" xfId="1780"/>
    <cellStyle name="SAPBEXstdData 4 3 3 2" xfId="3451"/>
    <cellStyle name="SAPBEXstdData 4 3 3 2 2" xfId="6421"/>
    <cellStyle name="SAPBEXstdData 4 3 3 3" xfId="4857"/>
    <cellStyle name="SAPBEXstdData 4 3 4" xfId="2003"/>
    <cellStyle name="SAPBEXstdData 4 3 4 2" xfId="3655"/>
    <cellStyle name="SAPBEXstdData 4 3 4 2 2" xfId="6620"/>
    <cellStyle name="SAPBEXstdData 4 3 4 3" xfId="5056"/>
    <cellStyle name="SAPBEXstdData 4 3 5" xfId="2219"/>
    <cellStyle name="SAPBEXstdData 4 3 5 2" xfId="3857"/>
    <cellStyle name="SAPBEXstdData 4 3 5 2 2" xfId="6816"/>
    <cellStyle name="SAPBEXstdData 4 3 5 3" xfId="5261"/>
    <cellStyle name="SAPBEXstdData 4 3 6" xfId="2431"/>
    <cellStyle name="SAPBEXstdData 4 3 6 2" xfId="4056"/>
    <cellStyle name="SAPBEXstdData 4 3 6 2 2" xfId="7012"/>
    <cellStyle name="SAPBEXstdData 4 3 6 3" xfId="5464"/>
    <cellStyle name="SAPBEXstdData 4 3 7" xfId="2635"/>
    <cellStyle name="SAPBEXstdData 4 3 7 2" xfId="5662"/>
    <cellStyle name="SAPBEXstdData 4 3 8" xfId="2932"/>
    <cellStyle name="SAPBEXstdData 4 3 8 2" xfId="5918"/>
    <cellStyle name="SAPBEXstdData 4 4" xfId="1072"/>
    <cellStyle name="SAPBEXstdData 4 4 2" xfId="1633"/>
    <cellStyle name="SAPBEXstdData 4 4 2 2" xfId="3314"/>
    <cellStyle name="SAPBEXstdData 4 4 2 2 2" xfId="6285"/>
    <cellStyle name="SAPBEXstdData 4 4 2 3" xfId="4753"/>
    <cellStyle name="SAPBEXstdData 4 4 3" xfId="1812"/>
    <cellStyle name="SAPBEXstdData 4 4 3 2" xfId="3483"/>
    <cellStyle name="SAPBEXstdData 4 4 3 2 2" xfId="6452"/>
    <cellStyle name="SAPBEXstdData 4 4 3 3" xfId="4878"/>
    <cellStyle name="SAPBEXstdData 4 4 4" xfId="2035"/>
    <cellStyle name="SAPBEXstdData 4 4 4 2" xfId="3687"/>
    <cellStyle name="SAPBEXstdData 4 4 4 2 2" xfId="6651"/>
    <cellStyle name="SAPBEXstdData 4 4 4 3" xfId="5087"/>
    <cellStyle name="SAPBEXstdData 4 4 5" xfId="2251"/>
    <cellStyle name="SAPBEXstdData 4 4 5 2" xfId="3889"/>
    <cellStyle name="SAPBEXstdData 4 4 5 2 2" xfId="6847"/>
    <cellStyle name="SAPBEXstdData 4 4 5 3" xfId="5292"/>
    <cellStyle name="SAPBEXstdData 4 4 6" xfId="2463"/>
    <cellStyle name="SAPBEXstdData 4 4 6 2" xfId="4088"/>
    <cellStyle name="SAPBEXstdData 4 4 6 2 2" xfId="7043"/>
    <cellStyle name="SAPBEXstdData 4 4 6 3" xfId="5495"/>
    <cellStyle name="SAPBEXstdData 4 4 7" xfId="2667"/>
    <cellStyle name="SAPBEXstdData 4 4 7 2" xfId="5693"/>
    <cellStyle name="SAPBEXstdData 4 4 8" xfId="2964"/>
    <cellStyle name="SAPBEXstdData 4 4 8 2" xfId="5949"/>
    <cellStyle name="SAPBEXstdData 4 5" xfId="1469"/>
    <cellStyle name="SAPBEXstdData 4 5 2" xfId="3177"/>
    <cellStyle name="SAPBEXstdData 4 5 2 2" xfId="6151"/>
    <cellStyle name="SAPBEXstdData 4 6" xfId="1094"/>
    <cellStyle name="SAPBEXstdData 4 6 2" xfId="2983"/>
    <cellStyle name="SAPBEXstdData 4 6 2 2" xfId="5968"/>
    <cellStyle name="SAPBEXstdData 4 6 3" xfId="4404"/>
    <cellStyle name="SAPBEXstdData 4 7" xfId="1853"/>
    <cellStyle name="SAPBEXstdData 4 7 2" xfId="3517"/>
    <cellStyle name="SAPBEXstdData 4 7 2 2" xfId="6485"/>
    <cellStyle name="SAPBEXstdData 4 7 3" xfId="4911"/>
    <cellStyle name="SAPBEXstdData 4 8" xfId="2070"/>
    <cellStyle name="SAPBEXstdData 4 8 2" xfId="3718"/>
    <cellStyle name="SAPBEXstdData 4 8 2 2" xfId="6681"/>
    <cellStyle name="SAPBEXstdData 4 8 3" xfId="5118"/>
    <cellStyle name="SAPBEXstdData 4 9" xfId="2286"/>
    <cellStyle name="SAPBEXstdData 4 9 2" xfId="3920"/>
    <cellStyle name="SAPBEXstdData 4 9 2 2" xfId="6877"/>
    <cellStyle name="SAPBEXstdData 4 9 3" xfId="5323"/>
    <cellStyle name="SAPBEXstdData 5" xfId="908"/>
    <cellStyle name="SAPBEXstdData 5 2" xfId="1658"/>
    <cellStyle name="SAPBEXstdData 5 2 2" xfId="3334"/>
    <cellStyle name="SAPBEXstdData 5 2 2 2" xfId="6305"/>
    <cellStyle name="SAPBEXstdData 5 2 3" xfId="4775"/>
    <cellStyle name="SAPBEXstdData 5 3" xfId="1885"/>
    <cellStyle name="SAPBEXstdData 5 3 2" xfId="3539"/>
    <cellStyle name="SAPBEXstdData 5 3 2 2" xfId="6506"/>
    <cellStyle name="SAPBEXstdData 5 3 3" xfId="4940"/>
    <cellStyle name="SAPBEXstdData 5 4" xfId="2103"/>
    <cellStyle name="SAPBEXstdData 5 4 2" xfId="3741"/>
    <cellStyle name="SAPBEXstdData 5 4 2 2" xfId="6703"/>
    <cellStyle name="SAPBEXstdData 5 4 3" xfId="5148"/>
    <cellStyle name="SAPBEXstdData 5 5" xfId="2316"/>
    <cellStyle name="SAPBEXstdData 5 5 2" xfId="3941"/>
    <cellStyle name="SAPBEXstdData 5 5 2 2" xfId="6898"/>
    <cellStyle name="SAPBEXstdData 5 5 3" xfId="5350"/>
    <cellStyle name="SAPBEXstdData 5 6" xfId="2521"/>
    <cellStyle name="SAPBEXstdData 5 6 2" xfId="4135"/>
    <cellStyle name="SAPBEXstdData 5 6 2 2" xfId="7090"/>
    <cellStyle name="SAPBEXstdData 5 6 3" xfId="5549"/>
    <cellStyle name="SAPBEXstdData 5 7" xfId="2817"/>
    <cellStyle name="SAPBEXstdData 5 7 2" xfId="5805"/>
    <cellStyle name="SAPBEXstdData 5 8" xfId="4346"/>
    <cellStyle name="SAPBEXstdData 6" xfId="986"/>
    <cellStyle name="SAPBEXstdData 6 2" xfId="1557"/>
    <cellStyle name="SAPBEXstdData 6 2 2" xfId="3240"/>
    <cellStyle name="SAPBEXstdData 6 2 2 2" xfId="6212"/>
    <cellStyle name="SAPBEXstdData 6 2 3" xfId="4699"/>
    <cellStyle name="SAPBEXstdData 6 3" xfId="1728"/>
    <cellStyle name="SAPBEXstdData 6 3 2" xfId="3399"/>
    <cellStyle name="SAPBEXstdData 6 3 2 2" xfId="6369"/>
    <cellStyle name="SAPBEXstdData 6 4" xfId="1952"/>
    <cellStyle name="SAPBEXstdData 6 4 2" xfId="3604"/>
    <cellStyle name="SAPBEXstdData 6 4 2 2" xfId="6570"/>
    <cellStyle name="SAPBEXstdData 6 4 3" xfId="5006"/>
    <cellStyle name="SAPBEXstdData 6 5" xfId="2168"/>
    <cellStyle name="SAPBEXstdData 6 5 2" xfId="3806"/>
    <cellStyle name="SAPBEXstdData 6 5 2 2" xfId="6766"/>
    <cellStyle name="SAPBEXstdData 6 5 3" xfId="5211"/>
    <cellStyle name="SAPBEXstdData 6 6" xfId="2380"/>
    <cellStyle name="SAPBEXstdData 6 6 2" xfId="4005"/>
    <cellStyle name="SAPBEXstdData 6 6 2 2" xfId="6961"/>
    <cellStyle name="SAPBEXstdData 6 6 3" xfId="5413"/>
    <cellStyle name="SAPBEXstdData 6 7" xfId="2585"/>
    <cellStyle name="SAPBEXstdData 6 7 2" xfId="5612"/>
    <cellStyle name="SAPBEXstdData 6 8" xfId="2882"/>
    <cellStyle name="SAPBEXstdData 6 8 2" xfId="5868"/>
    <cellStyle name="SAPBEXstdData 7" xfId="1436"/>
    <cellStyle name="SAPBEXstdData 7 2" xfId="3148"/>
    <cellStyle name="SAPBEXstdData 7 2 2" xfId="6123"/>
    <cellStyle name="SAPBEXstdData 7 3" xfId="4613"/>
    <cellStyle name="SAPBEXstdData 8" xfId="1517"/>
    <cellStyle name="SAPBEXstdData 8 2" xfId="3204"/>
    <cellStyle name="SAPBEXstdData 8 2 2" xfId="6177"/>
    <cellStyle name="SAPBEXstdData 8 3" xfId="4664"/>
    <cellStyle name="SAPBEXstdData 9" xfId="1234"/>
    <cellStyle name="SAPBEXstdData 9 2" xfId="3062"/>
    <cellStyle name="SAPBEXstdData 9 2 2" xfId="6042"/>
    <cellStyle name="SAPBEXstdData 9 3" xfId="4501"/>
    <cellStyle name="SAPBEXstdData_Sch-3" xfId="835"/>
    <cellStyle name="SAPBEXstdDataEmph" xfId="261"/>
    <cellStyle name="SAPBEXstdDataEmph 10" xfId="1360"/>
    <cellStyle name="SAPBEXstdDataEmph 10 2" xfId="3101"/>
    <cellStyle name="SAPBEXstdDataEmph 10 2 2" xfId="6078"/>
    <cellStyle name="SAPBEXstdDataEmph 10 3" xfId="4562"/>
    <cellStyle name="SAPBEXstdDataEmph 11" xfId="2766"/>
    <cellStyle name="SAPBEXstdDataEmph 11 2" xfId="5755"/>
    <cellStyle name="SAPBEXstdDataEmph 2" xfId="848"/>
    <cellStyle name="SAPBEXstdDataEmph 2 10" xfId="2489"/>
    <cellStyle name="SAPBEXstdDataEmph 2 10 2" xfId="4112"/>
    <cellStyle name="SAPBEXstdDataEmph 2 10 2 2" xfId="7067"/>
    <cellStyle name="SAPBEXstdDataEmph 2 10 3" xfId="5519"/>
    <cellStyle name="SAPBEXstdDataEmph 2 11" xfId="2792"/>
    <cellStyle name="SAPBEXstdDataEmph 2 11 2" xfId="5780"/>
    <cellStyle name="SAPBEXstdDataEmph 2 2" xfId="1014"/>
    <cellStyle name="SAPBEXstdDataEmph 2 2 2" xfId="1580"/>
    <cellStyle name="SAPBEXstdDataEmph 2 2 2 2" xfId="3263"/>
    <cellStyle name="SAPBEXstdDataEmph 2 2 2 2 2" xfId="6235"/>
    <cellStyle name="SAPBEXstdDataEmph 2 2 3" xfId="1754"/>
    <cellStyle name="SAPBEXstdDataEmph 2 2 3 2" xfId="3425"/>
    <cellStyle name="SAPBEXstdDataEmph 2 2 3 2 2" xfId="6395"/>
    <cellStyle name="SAPBEXstdDataEmph 2 2 3 3" xfId="4831"/>
    <cellStyle name="SAPBEXstdDataEmph 2 2 4" xfId="1977"/>
    <cellStyle name="SAPBEXstdDataEmph 2 2 4 2" xfId="3629"/>
    <cellStyle name="SAPBEXstdDataEmph 2 2 4 2 2" xfId="6595"/>
    <cellStyle name="SAPBEXstdDataEmph 2 2 4 3" xfId="5031"/>
    <cellStyle name="SAPBEXstdDataEmph 2 2 5" xfId="2193"/>
    <cellStyle name="SAPBEXstdDataEmph 2 2 5 2" xfId="3831"/>
    <cellStyle name="SAPBEXstdDataEmph 2 2 5 2 2" xfId="6791"/>
    <cellStyle name="SAPBEXstdDataEmph 2 2 5 3" xfId="5236"/>
    <cellStyle name="SAPBEXstdDataEmph 2 2 6" xfId="2405"/>
    <cellStyle name="SAPBEXstdDataEmph 2 2 6 2" xfId="4030"/>
    <cellStyle name="SAPBEXstdDataEmph 2 2 6 2 2" xfId="6986"/>
    <cellStyle name="SAPBEXstdDataEmph 2 2 6 3" xfId="5438"/>
    <cellStyle name="SAPBEXstdDataEmph 2 2 7" xfId="2609"/>
    <cellStyle name="SAPBEXstdDataEmph 2 2 7 2" xfId="4175"/>
    <cellStyle name="SAPBEXstdDataEmph 2 2 7 2 2" xfId="7130"/>
    <cellStyle name="SAPBEXstdDataEmph 2 2 7 3" xfId="5636"/>
    <cellStyle name="SAPBEXstdDataEmph 2 2 8" xfId="2906"/>
    <cellStyle name="SAPBEXstdDataEmph 2 2 8 2" xfId="5892"/>
    <cellStyle name="SAPBEXstdDataEmph 2 3" xfId="1034"/>
    <cellStyle name="SAPBEXstdDataEmph 2 3 2" xfId="1596"/>
    <cellStyle name="SAPBEXstdDataEmph 2 3 2 2" xfId="3278"/>
    <cellStyle name="SAPBEXstdDataEmph 2 3 2 2 2" xfId="6250"/>
    <cellStyle name="SAPBEXstdDataEmph 2 3 2 3" xfId="4718"/>
    <cellStyle name="SAPBEXstdDataEmph 2 3 3" xfId="1774"/>
    <cellStyle name="SAPBEXstdDataEmph 2 3 3 2" xfId="3445"/>
    <cellStyle name="SAPBEXstdDataEmph 2 3 3 2 2" xfId="6415"/>
    <cellStyle name="SAPBEXstdDataEmph 2 3 3 3" xfId="4851"/>
    <cellStyle name="SAPBEXstdDataEmph 2 3 4" xfId="1997"/>
    <cellStyle name="SAPBEXstdDataEmph 2 3 4 2" xfId="3649"/>
    <cellStyle name="SAPBEXstdDataEmph 2 3 4 2 2" xfId="6614"/>
    <cellStyle name="SAPBEXstdDataEmph 2 3 4 3" xfId="5050"/>
    <cellStyle name="SAPBEXstdDataEmph 2 3 5" xfId="2213"/>
    <cellStyle name="SAPBEXstdDataEmph 2 3 5 2" xfId="3851"/>
    <cellStyle name="SAPBEXstdDataEmph 2 3 5 2 2" xfId="6810"/>
    <cellStyle name="SAPBEXstdDataEmph 2 3 5 3" xfId="5255"/>
    <cellStyle name="SAPBEXstdDataEmph 2 3 6" xfId="2425"/>
    <cellStyle name="SAPBEXstdDataEmph 2 3 6 2" xfId="4050"/>
    <cellStyle name="SAPBEXstdDataEmph 2 3 6 2 2" xfId="7006"/>
    <cellStyle name="SAPBEXstdDataEmph 2 3 6 3" xfId="5458"/>
    <cellStyle name="SAPBEXstdDataEmph 2 3 7" xfId="2629"/>
    <cellStyle name="SAPBEXstdDataEmph 2 3 7 2" xfId="5656"/>
    <cellStyle name="SAPBEXstdDataEmph 2 3 8" xfId="2926"/>
    <cellStyle name="SAPBEXstdDataEmph 2 3 8 2" xfId="5912"/>
    <cellStyle name="SAPBEXstdDataEmph 2 4" xfId="1066"/>
    <cellStyle name="SAPBEXstdDataEmph 2 4 2" xfId="1627"/>
    <cellStyle name="SAPBEXstdDataEmph 2 4 2 2" xfId="3308"/>
    <cellStyle name="SAPBEXstdDataEmph 2 4 2 2 2" xfId="6279"/>
    <cellStyle name="SAPBEXstdDataEmph 2 4 2 3" xfId="4747"/>
    <cellStyle name="SAPBEXstdDataEmph 2 4 3" xfId="1806"/>
    <cellStyle name="SAPBEXstdDataEmph 2 4 3 2" xfId="3477"/>
    <cellStyle name="SAPBEXstdDataEmph 2 4 3 2 2" xfId="6446"/>
    <cellStyle name="SAPBEXstdDataEmph 2 4 3 3" xfId="4872"/>
    <cellStyle name="SAPBEXstdDataEmph 2 4 4" xfId="2029"/>
    <cellStyle name="SAPBEXstdDataEmph 2 4 4 2" xfId="3681"/>
    <cellStyle name="SAPBEXstdDataEmph 2 4 4 2 2" xfId="6645"/>
    <cellStyle name="SAPBEXstdDataEmph 2 4 4 3" xfId="5081"/>
    <cellStyle name="SAPBEXstdDataEmph 2 4 5" xfId="2245"/>
    <cellStyle name="SAPBEXstdDataEmph 2 4 5 2" xfId="3883"/>
    <cellStyle name="SAPBEXstdDataEmph 2 4 5 2 2" xfId="6841"/>
    <cellStyle name="SAPBEXstdDataEmph 2 4 5 3" xfId="5286"/>
    <cellStyle name="SAPBEXstdDataEmph 2 4 6" xfId="2457"/>
    <cellStyle name="SAPBEXstdDataEmph 2 4 6 2" xfId="4082"/>
    <cellStyle name="SAPBEXstdDataEmph 2 4 6 2 2" xfId="7037"/>
    <cellStyle name="SAPBEXstdDataEmph 2 4 6 3" xfId="5489"/>
    <cellStyle name="SAPBEXstdDataEmph 2 4 7" xfId="2661"/>
    <cellStyle name="SAPBEXstdDataEmph 2 4 7 2" xfId="5687"/>
    <cellStyle name="SAPBEXstdDataEmph 2 4 8" xfId="2958"/>
    <cellStyle name="SAPBEXstdDataEmph 2 4 8 2" xfId="5943"/>
    <cellStyle name="SAPBEXstdDataEmph 2 5" xfId="1463"/>
    <cellStyle name="SAPBEXstdDataEmph 2 5 2" xfId="3171"/>
    <cellStyle name="SAPBEXstdDataEmph 2 5 2 2" xfId="6145"/>
    <cellStyle name="SAPBEXstdDataEmph 2 6" xfId="1100"/>
    <cellStyle name="SAPBEXstdDataEmph 2 6 2" xfId="2989"/>
    <cellStyle name="SAPBEXstdDataEmph 2 6 2 2" xfId="5974"/>
    <cellStyle name="SAPBEXstdDataEmph 2 6 3" xfId="4410"/>
    <cellStyle name="SAPBEXstdDataEmph 2 7" xfId="1847"/>
    <cellStyle name="SAPBEXstdDataEmph 2 7 2" xfId="3511"/>
    <cellStyle name="SAPBEXstdDataEmph 2 7 2 2" xfId="6479"/>
    <cellStyle name="SAPBEXstdDataEmph 2 7 3" xfId="4905"/>
    <cellStyle name="SAPBEXstdDataEmph 2 8" xfId="2064"/>
    <cellStyle name="SAPBEXstdDataEmph 2 8 2" xfId="3712"/>
    <cellStyle name="SAPBEXstdDataEmph 2 8 2 2" xfId="6675"/>
    <cellStyle name="SAPBEXstdDataEmph 2 8 3" xfId="5112"/>
    <cellStyle name="SAPBEXstdDataEmph 2 9" xfId="2280"/>
    <cellStyle name="SAPBEXstdDataEmph 2 9 2" xfId="3914"/>
    <cellStyle name="SAPBEXstdDataEmph 2 9 2 2" xfId="6871"/>
    <cellStyle name="SAPBEXstdDataEmph 2 9 3" xfId="5317"/>
    <cellStyle name="SAPBEXstdDataEmph 3" xfId="839"/>
    <cellStyle name="SAPBEXstdDataEmph 3 10" xfId="2481"/>
    <cellStyle name="SAPBEXstdDataEmph 3 10 2" xfId="4104"/>
    <cellStyle name="SAPBEXstdDataEmph 3 10 2 2" xfId="7059"/>
    <cellStyle name="SAPBEXstdDataEmph 3 10 3" xfId="5511"/>
    <cellStyle name="SAPBEXstdDataEmph 3 11" xfId="2784"/>
    <cellStyle name="SAPBEXstdDataEmph 3 11 2" xfId="5772"/>
    <cellStyle name="SAPBEXstdDataEmph 3 2" xfId="1006"/>
    <cellStyle name="SAPBEXstdDataEmph 3 2 2" xfId="1575"/>
    <cellStyle name="SAPBEXstdDataEmph 3 2 2 2" xfId="3258"/>
    <cellStyle name="SAPBEXstdDataEmph 3 2 2 2 2" xfId="6230"/>
    <cellStyle name="SAPBEXstdDataEmph 3 2 3" xfId="1746"/>
    <cellStyle name="SAPBEXstdDataEmph 3 2 3 2" xfId="3417"/>
    <cellStyle name="SAPBEXstdDataEmph 3 2 3 2 2" xfId="6387"/>
    <cellStyle name="SAPBEXstdDataEmph 3 2 3 3" xfId="4823"/>
    <cellStyle name="SAPBEXstdDataEmph 3 2 4" xfId="1969"/>
    <cellStyle name="SAPBEXstdDataEmph 3 2 4 2" xfId="3621"/>
    <cellStyle name="SAPBEXstdDataEmph 3 2 4 2 2" xfId="6587"/>
    <cellStyle name="SAPBEXstdDataEmph 3 2 4 3" xfId="5023"/>
    <cellStyle name="SAPBEXstdDataEmph 3 2 5" xfId="2185"/>
    <cellStyle name="SAPBEXstdDataEmph 3 2 5 2" xfId="3823"/>
    <cellStyle name="SAPBEXstdDataEmph 3 2 5 2 2" xfId="6783"/>
    <cellStyle name="SAPBEXstdDataEmph 3 2 5 3" xfId="5228"/>
    <cellStyle name="SAPBEXstdDataEmph 3 2 6" xfId="2397"/>
    <cellStyle name="SAPBEXstdDataEmph 3 2 6 2" xfId="4022"/>
    <cellStyle name="SAPBEXstdDataEmph 3 2 6 2 2" xfId="6978"/>
    <cellStyle name="SAPBEXstdDataEmph 3 2 6 3" xfId="5430"/>
    <cellStyle name="SAPBEXstdDataEmph 3 2 7" xfId="2601"/>
    <cellStyle name="SAPBEXstdDataEmph 3 2 7 2" xfId="4167"/>
    <cellStyle name="SAPBEXstdDataEmph 3 2 7 2 2" xfId="7122"/>
    <cellStyle name="SAPBEXstdDataEmph 3 2 7 3" xfId="5628"/>
    <cellStyle name="SAPBEXstdDataEmph 3 2 8" xfId="2898"/>
    <cellStyle name="SAPBEXstdDataEmph 3 2 8 2" xfId="5884"/>
    <cellStyle name="SAPBEXstdDataEmph 3 3" xfId="967"/>
    <cellStyle name="SAPBEXstdDataEmph 3 3 2" xfId="1542"/>
    <cellStyle name="SAPBEXstdDataEmph 3 3 2 2" xfId="3226"/>
    <cellStyle name="SAPBEXstdDataEmph 3 3 2 2 2" xfId="6199"/>
    <cellStyle name="SAPBEXstdDataEmph 3 3 2 3" xfId="4687"/>
    <cellStyle name="SAPBEXstdDataEmph 3 3 3" xfId="1714"/>
    <cellStyle name="SAPBEXstdDataEmph 3 3 3 2" xfId="3387"/>
    <cellStyle name="SAPBEXstdDataEmph 3 3 3 2 2" xfId="6357"/>
    <cellStyle name="SAPBEXstdDataEmph 3 3 3 3" xfId="4814"/>
    <cellStyle name="SAPBEXstdDataEmph 3 3 4" xfId="1938"/>
    <cellStyle name="SAPBEXstdDataEmph 3 3 4 2" xfId="3592"/>
    <cellStyle name="SAPBEXstdDataEmph 3 3 4 2 2" xfId="6558"/>
    <cellStyle name="SAPBEXstdDataEmph 3 3 4 3" xfId="4992"/>
    <cellStyle name="SAPBEXstdDataEmph 3 3 5" xfId="2155"/>
    <cellStyle name="SAPBEXstdDataEmph 3 3 5 2" xfId="3793"/>
    <cellStyle name="SAPBEXstdDataEmph 3 3 5 2 2" xfId="6754"/>
    <cellStyle name="SAPBEXstdDataEmph 3 3 5 3" xfId="5199"/>
    <cellStyle name="SAPBEXstdDataEmph 3 3 6" xfId="2368"/>
    <cellStyle name="SAPBEXstdDataEmph 3 3 6 2" xfId="3993"/>
    <cellStyle name="SAPBEXstdDataEmph 3 3 6 2 2" xfId="6949"/>
    <cellStyle name="SAPBEXstdDataEmph 3 3 6 3" xfId="5401"/>
    <cellStyle name="SAPBEXstdDataEmph 3 3 7" xfId="2573"/>
    <cellStyle name="SAPBEXstdDataEmph 3 3 7 2" xfId="5600"/>
    <cellStyle name="SAPBEXstdDataEmph 3 3 8" xfId="2869"/>
    <cellStyle name="SAPBEXstdDataEmph 3 3 8 2" xfId="5856"/>
    <cellStyle name="SAPBEXstdDataEmph 3 4" xfId="1058"/>
    <cellStyle name="SAPBEXstdDataEmph 3 4 2" xfId="1619"/>
    <cellStyle name="SAPBEXstdDataEmph 3 4 2 2" xfId="3300"/>
    <cellStyle name="SAPBEXstdDataEmph 3 4 2 2 2" xfId="6271"/>
    <cellStyle name="SAPBEXstdDataEmph 3 4 2 3" xfId="4739"/>
    <cellStyle name="SAPBEXstdDataEmph 3 4 3" xfId="1798"/>
    <cellStyle name="SAPBEXstdDataEmph 3 4 3 2" xfId="3469"/>
    <cellStyle name="SAPBEXstdDataEmph 3 4 3 2 2" xfId="6438"/>
    <cellStyle name="SAPBEXstdDataEmph 3 4 3 3" xfId="4867"/>
    <cellStyle name="SAPBEXstdDataEmph 3 4 4" xfId="2021"/>
    <cellStyle name="SAPBEXstdDataEmph 3 4 4 2" xfId="3673"/>
    <cellStyle name="SAPBEXstdDataEmph 3 4 4 2 2" xfId="6637"/>
    <cellStyle name="SAPBEXstdDataEmph 3 4 4 3" xfId="5073"/>
    <cellStyle name="SAPBEXstdDataEmph 3 4 5" xfId="2237"/>
    <cellStyle name="SAPBEXstdDataEmph 3 4 5 2" xfId="3875"/>
    <cellStyle name="SAPBEXstdDataEmph 3 4 5 2 2" xfId="6833"/>
    <cellStyle name="SAPBEXstdDataEmph 3 4 5 3" xfId="5278"/>
    <cellStyle name="SAPBEXstdDataEmph 3 4 6" xfId="2449"/>
    <cellStyle name="SAPBEXstdDataEmph 3 4 6 2" xfId="4074"/>
    <cellStyle name="SAPBEXstdDataEmph 3 4 6 2 2" xfId="7029"/>
    <cellStyle name="SAPBEXstdDataEmph 3 4 6 3" xfId="5481"/>
    <cellStyle name="SAPBEXstdDataEmph 3 4 7" xfId="2653"/>
    <cellStyle name="SAPBEXstdDataEmph 3 4 7 2" xfId="5679"/>
    <cellStyle name="SAPBEXstdDataEmph 3 4 8" xfId="2950"/>
    <cellStyle name="SAPBEXstdDataEmph 3 4 8 2" xfId="5935"/>
    <cellStyle name="SAPBEXstdDataEmph 3 5" xfId="1457"/>
    <cellStyle name="SAPBEXstdDataEmph 3 5 2" xfId="3166"/>
    <cellStyle name="SAPBEXstdDataEmph 3 5 2 2" xfId="6140"/>
    <cellStyle name="SAPBEXstdDataEmph 3 6" xfId="1103"/>
    <cellStyle name="SAPBEXstdDataEmph 3 6 2" xfId="2991"/>
    <cellStyle name="SAPBEXstdDataEmph 3 6 2 2" xfId="5976"/>
    <cellStyle name="SAPBEXstdDataEmph 3 6 3" xfId="4412"/>
    <cellStyle name="SAPBEXstdDataEmph 3 7" xfId="1838"/>
    <cellStyle name="SAPBEXstdDataEmph 3 7 2" xfId="3503"/>
    <cellStyle name="SAPBEXstdDataEmph 3 7 2 2" xfId="6471"/>
    <cellStyle name="SAPBEXstdDataEmph 3 7 3" xfId="4897"/>
    <cellStyle name="SAPBEXstdDataEmph 3 8" xfId="2055"/>
    <cellStyle name="SAPBEXstdDataEmph 3 8 2" xfId="3704"/>
    <cellStyle name="SAPBEXstdDataEmph 3 8 2 2" xfId="6667"/>
    <cellStyle name="SAPBEXstdDataEmph 3 8 3" xfId="5104"/>
    <cellStyle name="SAPBEXstdDataEmph 3 9" xfId="2272"/>
    <cellStyle name="SAPBEXstdDataEmph 3 9 2" xfId="3906"/>
    <cellStyle name="SAPBEXstdDataEmph 3 9 2 2" xfId="6863"/>
    <cellStyle name="SAPBEXstdDataEmph 3 9 3" xfId="5309"/>
    <cellStyle name="SAPBEXstdDataEmph 4" xfId="907"/>
    <cellStyle name="SAPBEXstdDataEmph 4 2" xfId="1657"/>
    <cellStyle name="SAPBEXstdDataEmph 4 2 2" xfId="3333"/>
    <cellStyle name="SAPBEXstdDataEmph 4 2 2 2" xfId="6304"/>
    <cellStyle name="SAPBEXstdDataEmph 4 2 3" xfId="4774"/>
    <cellStyle name="SAPBEXstdDataEmph 4 3" xfId="1884"/>
    <cellStyle name="SAPBEXstdDataEmph 4 3 2" xfId="3538"/>
    <cellStyle name="SAPBEXstdDataEmph 4 3 2 2" xfId="6505"/>
    <cellStyle name="SAPBEXstdDataEmph 4 3 3" xfId="4939"/>
    <cellStyle name="SAPBEXstdDataEmph 4 4" xfId="2102"/>
    <cellStyle name="SAPBEXstdDataEmph 4 4 2" xfId="3740"/>
    <cellStyle name="SAPBEXstdDataEmph 4 4 2 2" xfId="6702"/>
    <cellStyle name="SAPBEXstdDataEmph 4 4 3" xfId="5147"/>
    <cellStyle name="SAPBEXstdDataEmph 4 5" xfId="2315"/>
    <cellStyle name="SAPBEXstdDataEmph 4 5 2" xfId="3940"/>
    <cellStyle name="SAPBEXstdDataEmph 4 5 2 2" xfId="6897"/>
    <cellStyle name="SAPBEXstdDataEmph 4 5 3" xfId="5349"/>
    <cellStyle name="SAPBEXstdDataEmph 4 6" xfId="2520"/>
    <cellStyle name="SAPBEXstdDataEmph 4 6 2" xfId="4134"/>
    <cellStyle name="SAPBEXstdDataEmph 4 6 2 2" xfId="7089"/>
    <cellStyle name="SAPBEXstdDataEmph 4 6 3" xfId="5548"/>
    <cellStyle name="SAPBEXstdDataEmph 4 7" xfId="2816"/>
    <cellStyle name="SAPBEXstdDataEmph 4 7 2" xfId="5804"/>
    <cellStyle name="SAPBEXstdDataEmph 4 8" xfId="4345"/>
    <cellStyle name="SAPBEXstdDataEmph 5" xfId="987"/>
    <cellStyle name="SAPBEXstdDataEmph 5 2" xfId="1558"/>
    <cellStyle name="SAPBEXstdDataEmph 5 2 2" xfId="3241"/>
    <cellStyle name="SAPBEXstdDataEmph 5 2 2 2" xfId="6213"/>
    <cellStyle name="SAPBEXstdDataEmph 5 2 3" xfId="4700"/>
    <cellStyle name="SAPBEXstdDataEmph 5 3" xfId="1729"/>
    <cellStyle name="SAPBEXstdDataEmph 5 3 2" xfId="3400"/>
    <cellStyle name="SAPBEXstdDataEmph 5 3 2 2" xfId="6370"/>
    <cellStyle name="SAPBEXstdDataEmph 5 4" xfId="1953"/>
    <cellStyle name="SAPBEXstdDataEmph 5 4 2" xfId="3605"/>
    <cellStyle name="SAPBEXstdDataEmph 5 4 2 2" xfId="6571"/>
    <cellStyle name="SAPBEXstdDataEmph 5 4 3" xfId="5007"/>
    <cellStyle name="SAPBEXstdDataEmph 5 5" xfId="2169"/>
    <cellStyle name="SAPBEXstdDataEmph 5 5 2" xfId="3807"/>
    <cellStyle name="SAPBEXstdDataEmph 5 5 2 2" xfId="6767"/>
    <cellStyle name="SAPBEXstdDataEmph 5 5 3" xfId="5212"/>
    <cellStyle name="SAPBEXstdDataEmph 5 6" xfId="2381"/>
    <cellStyle name="SAPBEXstdDataEmph 5 6 2" xfId="4006"/>
    <cellStyle name="SAPBEXstdDataEmph 5 6 2 2" xfId="6962"/>
    <cellStyle name="SAPBEXstdDataEmph 5 6 3" xfId="5414"/>
    <cellStyle name="SAPBEXstdDataEmph 5 7" xfId="2586"/>
    <cellStyle name="SAPBEXstdDataEmph 5 7 2" xfId="5613"/>
    <cellStyle name="SAPBEXstdDataEmph 5 8" xfId="2883"/>
    <cellStyle name="SAPBEXstdDataEmph 5 8 2" xfId="5869"/>
    <cellStyle name="SAPBEXstdDataEmph 6" xfId="1434"/>
    <cellStyle name="SAPBEXstdDataEmph 6 2" xfId="3147"/>
    <cellStyle name="SAPBEXstdDataEmph 6 2 2" xfId="6122"/>
    <cellStyle name="SAPBEXstdDataEmph 6 3" xfId="4612"/>
    <cellStyle name="SAPBEXstdDataEmph 7" xfId="1272"/>
    <cellStyle name="SAPBEXstdDataEmph 7 2" xfId="3087"/>
    <cellStyle name="SAPBEXstdDataEmph 7 2 2" xfId="6065"/>
    <cellStyle name="SAPBEXstdDataEmph 7 3" xfId="4532"/>
    <cellStyle name="SAPBEXstdDataEmph 8" xfId="1387"/>
    <cellStyle name="SAPBEXstdDataEmph 8 2" xfId="3117"/>
    <cellStyle name="SAPBEXstdDataEmph 8 2 2" xfId="6093"/>
    <cellStyle name="SAPBEXstdDataEmph 8 3" xfId="4577"/>
    <cellStyle name="SAPBEXstdDataEmph 9" xfId="1288"/>
    <cellStyle name="SAPBEXstdDataEmph 9 2" xfId="3090"/>
    <cellStyle name="SAPBEXstdDataEmph 9 2 2" xfId="6067"/>
    <cellStyle name="SAPBEXstdDataEmph 9 3" xfId="4541"/>
    <cellStyle name="SAPBEXstdDataEmph_Sch-3" xfId="837"/>
    <cellStyle name="SAPBEXstdItem" xfId="262"/>
    <cellStyle name="SAPBEXstdItem 2" xfId="906"/>
    <cellStyle name="SAPBEXstdItem 2 2" xfId="1656"/>
    <cellStyle name="SAPBEXstdItem 2 2 2" xfId="3332"/>
    <cellStyle name="SAPBEXstdItem 2 2 2 2" xfId="6303"/>
    <cellStyle name="SAPBEXstdItem 2 2 3" xfId="4773"/>
    <cellStyle name="SAPBEXstdItem 2 3" xfId="1883"/>
    <cellStyle name="SAPBEXstdItem 2 3 2" xfId="3537"/>
    <cellStyle name="SAPBEXstdItem 2 3 2 2" xfId="6504"/>
    <cellStyle name="SAPBEXstdItem 2 3 3" xfId="4938"/>
    <cellStyle name="SAPBEXstdItem 2 4" xfId="2101"/>
    <cellStyle name="SAPBEXstdItem 2 4 2" xfId="3739"/>
    <cellStyle name="SAPBEXstdItem 2 4 2 2" xfId="6701"/>
    <cellStyle name="SAPBEXstdItem 2 4 3" xfId="5146"/>
    <cellStyle name="SAPBEXstdItem 2 5" xfId="2314"/>
    <cellStyle name="SAPBEXstdItem 2 5 2" xfId="3939"/>
    <cellStyle name="SAPBEXstdItem 2 5 2 2" xfId="6896"/>
    <cellStyle name="SAPBEXstdItem 2 5 3" xfId="5348"/>
    <cellStyle name="SAPBEXstdItem 2 6" xfId="2519"/>
    <cellStyle name="SAPBEXstdItem 2 6 2" xfId="4133"/>
    <cellStyle name="SAPBEXstdItem 2 6 2 2" xfId="7088"/>
    <cellStyle name="SAPBEXstdItem 2 6 3" xfId="5547"/>
    <cellStyle name="SAPBEXstdItem 2 7" xfId="2815"/>
    <cellStyle name="SAPBEXstdItem 2 7 2" xfId="5803"/>
    <cellStyle name="SAPBEXstdItem 2 8" xfId="4344"/>
    <cellStyle name="SAPBEXstdItem 3" xfId="988"/>
    <cellStyle name="SAPBEXstdItem 3 2" xfId="1559"/>
    <cellStyle name="SAPBEXstdItem 3 2 2" xfId="3242"/>
    <cellStyle name="SAPBEXstdItem 3 2 2 2" xfId="6214"/>
    <cellStyle name="SAPBEXstdItem 3 2 3" xfId="4701"/>
    <cellStyle name="SAPBEXstdItem 3 3" xfId="1730"/>
    <cellStyle name="SAPBEXstdItem 3 3 2" xfId="3401"/>
    <cellStyle name="SAPBEXstdItem 3 3 2 2" xfId="6371"/>
    <cellStyle name="SAPBEXstdItem 3 4" xfId="1954"/>
    <cellStyle name="SAPBEXstdItem 3 4 2" xfId="3606"/>
    <cellStyle name="SAPBEXstdItem 3 4 2 2" xfId="6572"/>
    <cellStyle name="SAPBEXstdItem 3 4 3" xfId="5008"/>
    <cellStyle name="SAPBEXstdItem 3 5" xfId="2170"/>
    <cellStyle name="SAPBEXstdItem 3 5 2" xfId="3808"/>
    <cellStyle name="SAPBEXstdItem 3 5 2 2" xfId="6768"/>
    <cellStyle name="SAPBEXstdItem 3 5 3" xfId="5213"/>
    <cellStyle name="SAPBEXstdItem 3 6" xfId="2382"/>
    <cellStyle name="SAPBEXstdItem 3 6 2" xfId="4007"/>
    <cellStyle name="SAPBEXstdItem 3 6 2 2" xfId="6963"/>
    <cellStyle name="SAPBEXstdItem 3 6 3" xfId="5415"/>
    <cellStyle name="SAPBEXstdItem 3 7" xfId="2587"/>
    <cellStyle name="SAPBEXstdItem 3 7 2" xfId="5614"/>
    <cellStyle name="SAPBEXstdItem 3 8" xfId="2884"/>
    <cellStyle name="SAPBEXstdItem 3 8 2" xfId="5870"/>
    <cellStyle name="SAPBEXstdItem 4" xfId="1433"/>
    <cellStyle name="SAPBEXstdItem 4 2" xfId="3146"/>
    <cellStyle name="SAPBEXstdItem 4 2 2" xfId="6121"/>
    <cellStyle name="SAPBEXstdItem 4 3" xfId="4611"/>
    <cellStyle name="SAPBEXstdItem 5" xfId="1451"/>
    <cellStyle name="SAPBEXstdItem 5 2" xfId="3162"/>
    <cellStyle name="SAPBEXstdItem 5 2 2" xfId="6137"/>
    <cellStyle name="SAPBEXstdItem 5 3" xfId="4627"/>
    <cellStyle name="SAPBEXstdItem 6" xfId="1386"/>
    <cellStyle name="SAPBEXstdItem 6 2" xfId="3116"/>
    <cellStyle name="SAPBEXstdItem 6 2 2" xfId="6092"/>
    <cellStyle name="SAPBEXstdItem 6 3" xfId="4576"/>
    <cellStyle name="SAPBEXstdItem 7" xfId="1289"/>
    <cellStyle name="SAPBEXstdItem 7 2" xfId="3091"/>
    <cellStyle name="SAPBEXstdItem 7 2 2" xfId="6068"/>
    <cellStyle name="SAPBEXstdItem 7 3" xfId="4542"/>
    <cellStyle name="SAPBEXstdItem 8" xfId="1359"/>
    <cellStyle name="SAPBEXstdItem 8 2" xfId="3100"/>
    <cellStyle name="SAPBEXstdItem 8 2 2" xfId="6077"/>
    <cellStyle name="SAPBEXstdItem 8 3" xfId="4561"/>
    <cellStyle name="SAPBEXstdItem 9" xfId="2767"/>
    <cellStyle name="SAPBEXstdItem 9 2" xfId="5756"/>
    <cellStyle name="SAPBEXstdItemX" xfId="263"/>
    <cellStyle name="SAPBEXstdItemX 2" xfId="905"/>
    <cellStyle name="SAPBEXstdItemX 2 2" xfId="1655"/>
    <cellStyle name="SAPBEXstdItemX 2 2 2" xfId="3331"/>
    <cellStyle name="SAPBEXstdItemX 2 2 2 2" xfId="6302"/>
    <cellStyle name="SAPBEXstdItemX 2 2 3" xfId="4772"/>
    <cellStyle name="SAPBEXstdItemX 2 3" xfId="1882"/>
    <cellStyle name="SAPBEXstdItemX 2 3 2" xfId="3536"/>
    <cellStyle name="SAPBEXstdItemX 2 3 2 2" xfId="6503"/>
    <cellStyle name="SAPBEXstdItemX 2 3 3" xfId="4937"/>
    <cellStyle name="SAPBEXstdItemX 2 4" xfId="2100"/>
    <cellStyle name="SAPBEXstdItemX 2 4 2" xfId="3738"/>
    <cellStyle name="SAPBEXstdItemX 2 4 2 2" xfId="6700"/>
    <cellStyle name="SAPBEXstdItemX 2 4 3" xfId="5145"/>
    <cellStyle name="SAPBEXstdItemX 2 5" xfId="2313"/>
    <cellStyle name="SAPBEXstdItemX 2 5 2" xfId="3938"/>
    <cellStyle name="SAPBEXstdItemX 2 5 2 2" xfId="6895"/>
    <cellStyle name="SAPBEXstdItemX 2 5 3" xfId="5347"/>
    <cellStyle name="SAPBEXstdItemX 2 6" xfId="2518"/>
    <cellStyle name="SAPBEXstdItemX 2 6 2" xfId="4132"/>
    <cellStyle name="SAPBEXstdItemX 2 6 2 2" xfId="7087"/>
    <cellStyle name="SAPBEXstdItemX 2 6 3" xfId="5546"/>
    <cellStyle name="SAPBEXstdItemX 2 7" xfId="2814"/>
    <cellStyle name="SAPBEXstdItemX 2 7 2" xfId="5802"/>
    <cellStyle name="SAPBEXstdItemX 2 8" xfId="4343"/>
    <cellStyle name="SAPBEXstdItemX 3" xfId="944"/>
    <cellStyle name="SAPBEXstdItemX 3 2" xfId="1523"/>
    <cellStyle name="SAPBEXstdItemX 3 2 2" xfId="3208"/>
    <cellStyle name="SAPBEXstdItemX 3 2 2 2" xfId="6181"/>
    <cellStyle name="SAPBEXstdItemX 3 2 3" xfId="4669"/>
    <cellStyle name="SAPBEXstdItemX 3 3" xfId="1694"/>
    <cellStyle name="SAPBEXstdItemX 3 3 2" xfId="3370"/>
    <cellStyle name="SAPBEXstdItemX 3 3 2 2" xfId="6340"/>
    <cellStyle name="SAPBEXstdItemX 3 4" xfId="1921"/>
    <cellStyle name="SAPBEXstdItemX 3 4 2" xfId="3575"/>
    <cellStyle name="SAPBEXstdItemX 3 4 2 2" xfId="6541"/>
    <cellStyle name="SAPBEXstdItemX 3 4 3" xfId="4975"/>
    <cellStyle name="SAPBEXstdItemX 3 5" xfId="2139"/>
    <cellStyle name="SAPBEXstdItemX 3 5 2" xfId="3777"/>
    <cellStyle name="SAPBEXstdItemX 3 5 2 2" xfId="6738"/>
    <cellStyle name="SAPBEXstdItemX 3 5 3" xfId="5183"/>
    <cellStyle name="SAPBEXstdItemX 3 6" xfId="2352"/>
    <cellStyle name="SAPBEXstdItemX 3 6 2" xfId="3977"/>
    <cellStyle name="SAPBEXstdItemX 3 6 2 2" xfId="6933"/>
    <cellStyle name="SAPBEXstdItemX 3 6 3" xfId="5385"/>
    <cellStyle name="SAPBEXstdItemX 3 7" xfId="2557"/>
    <cellStyle name="SAPBEXstdItemX 3 7 2" xfId="5584"/>
    <cellStyle name="SAPBEXstdItemX 3 8" xfId="2853"/>
    <cellStyle name="SAPBEXstdItemX 3 8 2" xfId="5840"/>
    <cellStyle name="SAPBEXstdItemX 4" xfId="1432"/>
    <cellStyle name="SAPBEXstdItemX 4 2" xfId="3145"/>
    <cellStyle name="SAPBEXstdItemX 4 2 2" xfId="6120"/>
    <cellStyle name="SAPBEXstdItemX 4 3" xfId="4610"/>
    <cellStyle name="SAPBEXstdItemX 5" xfId="1496"/>
    <cellStyle name="SAPBEXstdItemX 5 2" xfId="3196"/>
    <cellStyle name="SAPBEXstdItemX 5 2 2" xfId="6170"/>
    <cellStyle name="SAPBEXstdItemX 5 3" xfId="4650"/>
    <cellStyle name="SAPBEXstdItemX 6" xfId="1143"/>
    <cellStyle name="SAPBEXstdItemX 6 2" xfId="3015"/>
    <cellStyle name="SAPBEXstdItemX 6 2 2" xfId="5998"/>
    <cellStyle name="SAPBEXstdItemX 6 3" xfId="4442"/>
    <cellStyle name="SAPBEXstdItemX 7" xfId="1290"/>
    <cellStyle name="SAPBEXstdItemX 7 2" xfId="3092"/>
    <cellStyle name="SAPBEXstdItemX 7 2 2" xfId="6069"/>
    <cellStyle name="SAPBEXstdItemX 7 3" xfId="4543"/>
    <cellStyle name="SAPBEXstdItemX 8" xfId="1358"/>
    <cellStyle name="SAPBEXstdItemX 8 2" xfId="3099"/>
    <cellStyle name="SAPBEXstdItemX 8 2 2" xfId="6076"/>
    <cellStyle name="SAPBEXstdItemX 8 3" xfId="4560"/>
    <cellStyle name="SAPBEXstdItemX 9" xfId="2768"/>
    <cellStyle name="SAPBEXstdItemX 9 2" xfId="5757"/>
    <cellStyle name="SAPBEXtitle" xfId="264"/>
    <cellStyle name="SAPBEXundefined" xfId="265"/>
    <cellStyle name="SAPBEXundefined 10" xfId="1357"/>
    <cellStyle name="SAPBEXundefined 10 2" xfId="3098"/>
    <cellStyle name="SAPBEXundefined 10 2 2" xfId="6075"/>
    <cellStyle name="SAPBEXundefined 10 3" xfId="4559"/>
    <cellStyle name="SAPBEXundefined 11" xfId="2769"/>
    <cellStyle name="SAPBEXundefined 11 2" xfId="5758"/>
    <cellStyle name="SAPBEXundefined 2" xfId="852"/>
    <cellStyle name="SAPBEXundefined 2 10" xfId="2493"/>
    <cellStyle name="SAPBEXundefined 2 10 2" xfId="4116"/>
    <cellStyle name="SAPBEXundefined 2 10 2 2" xfId="7071"/>
    <cellStyle name="SAPBEXundefined 2 10 3" xfId="5523"/>
    <cellStyle name="SAPBEXundefined 2 11" xfId="2796"/>
    <cellStyle name="SAPBEXundefined 2 11 2" xfId="5784"/>
    <cellStyle name="SAPBEXundefined 2 2" xfId="1018"/>
    <cellStyle name="SAPBEXundefined 2 2 2" xfId="1584"/>
    <cellStyle name="SAPBEXundefined 2 2 2 2" xfId="3267"/>
    <cellStyle name="SAPBEXundefined 2 2 2 2 2" xfId="6239"/>
    <cellStyle name="SAPBEXundefined 2 2 3" xfId="1758"/>
    <cellStyle name="SAPBEXundefined 2 2 3 2" xfId="3429"/>
    <cellStyle name="SAPBEXundefined 2 2 3 2 2" xfId="6399"/>
    <cellStyle name="SAPBEXundefined 2 2 3 3" xfId="4835"/>
    <cellStyle name="SAPBEXundefined 2 2 4" xfId="1981"/>
    <cellStyle name="SAPBEXundefined 2 2 4 2" xfId="3633"/>
    <cellStyle name="SAPBEXundefined 2 2 4 2 2" xfId="6599"/>
    <cellStyle name="SAPBEXundefined 2 2 4 3" xfId="5035"/>
    <cellStyle name="SAPBEXundefined 2 2 5" xfId="2197"/>
    <cellStyle name="SAPBEXundefined 2 2 5 2" xfId="3835"/>
    <cellStyle name="SAPBEXundefined 2 2 5 2 2" xfId="6795"/>
    <cellStyle name="SAPBEXundefined 2 2 5 3" xfId="5240"/>
    <cellStyle name="SAPBEXundefined 2 2 6" xfId="2409"/>
    <cellStyle name="SAPBEXundefined 2 2 6 2" xfId="4034"/>
    <cellStyle name="SAPBEXundefined 2 2 6 2 2" xfId="6990"/>
    <cellStyle name="SAPBEXundefined 2 2 6 3" xfId="5442"/>
    <cellStyle name="SAPBEXundefined 2 2 7" xfId="2613"/>
    <cellStyle name="SAPBEXundefined 2 2 7 2" xfId="4179"/>
    <cellStyle name="SAPBEXundefined 2 2 7 2 2" xfId="7134"/>
    <cellStyle name="SAPBEXundefined 2 2 7 3" xfId="5640"/>
    <cellStyle name="SAPBEXundefined 2 2 8" xfId="2910"/>
    <cellStyle name="SAPBEXundefined 2 2 8 2" xfId="5896"/>
    <cellStyle name="SAPBEXundefined 2 3" xfId="1038"/>
    <cellStyle name="SAPBEXundefined 2 3 2" xfId="1600"/>
    <cellStyle name="SAPBEXundefined 2 3 2 2" xfId="3282"/>
    <cellStyle name="SAPBEXundefined 2 3 2 2 2" xfId="6254"/>
    <cellStyle name="SAPBEXundefined 2 3 2 3" xfId="4722"/>
    <cellStyle name="SAPBEXundefined 2 3 3" xfId="1778"/>
    <cellStyle name="SAPBEXundefined 2 3 3 2" xfId="3449"/>
    <cellStyle name="SAPBEXundefined 2 3 3 2 2" xfId="6419"/>
    <cellStyle name="SAPBEXundefined 2 3 3 3" xfId="4855"/>
    <cellStyle name="SAPBEXundefined 2 3 4" xfId="2001"/>
    <cellStyle name="SAPBEXundefined 2 3 4 2" xfId="3653"/>
    <cellStyle name="SAPBEXundefined 2 3 4 2 2" xfId="6618"/>
    <cellStyle name="SAPBEXundefined 2 3 4 3" xfId="5054"/>
    <cellStyle name="SAPBEXundefined 2 3 5" xfId="2217"/>
    <cellStyle name="SAPBEXundefined 2 3 5 2" xfId="3855"/>
    <cellStyle name="SAPBEXundefined 2 3 5 2 2" xfId="6814"/>
    <cellStyle name="SAPBEXundefined 2 3 5 3" xfId="5259"/>
    <cellStyle name="SAPBEXundefined 2 3 6" xfId="2429"/>
    <cellStyle name="SAPBEXundefined 2 3 6 2" xfId="4054"/>
    <cellStyle name="SAPBEXundefined 2 3 6 2 2" xfId="7010"/>
    <cellStyle name="SAPBEXundefined 2 3 6 3" xfId="5462"/>
    <cellStyle name="SAPBEXundefined 2 3 7" xfId="2633"/>
    <cellStyle name="SAPBEXundefined 2 3 7 2" xfId="5660"/>
    <cellStyle name="SAPBEXundefined 2 3 8" xfId="2930"/>
    <cellStyle name="SAPBEXundefined 2 3 8 2" xfId="5916"/>
    <cellStyle name="SAPBEXundefined 2 4" xfId="1070"/>
    <cellStyle name="SAPBEXundefined 2 4 2" xfId="1631"/>
    <cellStyle name="SAPBEXundefined 2 4 2 2" xfId="3312"/>
    <cellStyle name="SAPBEXundefined 2 4 2 2 2" xfId="6283"/>
    <cellStyle name="SAPBEXundefined 2 4 2 3" xfId="4751"/>
    <cellStyle name="SAPBEXundefined 2 4 3" xfId="1810"/>
    <cellStyle name="SAPBEXundefined 2 4 3 2" xfId="3481"/>
    <cellStyle name="SAPBEXundefined 2 4 3 2 2" xfId="6450"/>
    <cellStyle name="SAPBEXundefined 2 4 3 3" xfId="4876"/>
    <cellStyle name="SAPBEXundefined 2 4 4" xfId="2033"/>
    <cellStyle name="SAPBEXundefined 2 4 4 2" xfId="3685"/>
    <cellStyle name="SAPBEXundefined 2 4 4 2 2" xfId="6649"/>
    <cellStyle name="SAPBEXundefined 2 4 4 3" xfId="5085"/>
    <cellStyle name="SAPBEXundefined 2 4 5" xfId="2249"/>
    <cellStyle name="SAPBEXundefined 2 4 5 2" xfId="3887"/>
    <cellStyle name="SAPBEXundefined 2 4 5 2 2" xfId="6845"/>
    <cellStyle name="SAPBEXundefined 2 4 5 3" xfId="5290"/>
    <cellStyle name="SAPBEXundefined 2 4 6" xfId="2461"/>
    <cellStyle name="SAPBEXundefined 2 4 6 2" xfId="4086"/>
    <cellStyle name="SAPBEXundefined 2 4 6 2 2" xfId="7041"/>
    <cellStyle name="SAPBEXundefined 2 4 6 3" xfId="5493"/>
    <cellStyle name="SAPBEXundefined 2 4 7" xfId="2665"/>
    <cellStyle name="SAPBEXundefined 2 4 7 2" xfId="5691"/>
    <cellStyle name="SAPBEXundefined 2 4 8" xfId="2962"/>
    <cellStyle name="SAPBEXundefined 2 4 8 2" xfId="5947"/>
    <cellStyle name="SAPBEXundefined 2 5" xfId="1467"/>
    <cellStyle name="SAPBEXundefined 2 5 2" xfId="3175"/>
    <cellStyle name="SAPBEXundefined 2 5 2 2" xfId="6149"/>
    <cellStyle name="SAPBEXundefined 2 6" xfId="1096"/>
    <cellStyle name="SAPBEXundefined 2 6 2" xfId="2985"/>
    <cellStyle name="SAPBEXundefined 2 6 2 2" xfId="5970"/>
    <cellStyle name="SAPBEXundefined 2 6 3" xfId="4406"/>
    <cellStyle name="SAPBEXundefined 2 7" xfId="1851"/>
    <cellStyle name="SAPBEXundefined 2 7 2" xfId="3515"/>
    <cellStyle name="SAPBEXundefined 2 7 2 2" xfId="6483"/>
    <cellStyle name="SAPBEXundefined 2 7 3" xfId="4909"/>
    <cellStyle name="SAPBEXundefined 2 8" xfId="2068"/>
    <cellStyle name="SAPBEXundefined 2 8 2" xfId="3716"/>
    <cellStyle name="SAPBEXundefined 2 8 2 2" xfId="6679"/>
    <cellStyle name="SAPBEXundefined 2 8 3" xfId="5116"/>
    <cellStyle name="SAPBEXundefined 2 9" xfId="2284"/>
    <cellStyle name="SAPBEXundefined 2 9 2" xfId="3918"/>
    <cellStyle name="SAPBEXundefined 2 9 2 2" xfId="6875"/>
    <cellStyle name="SAPBEXundefined 2 9 3" xfId="5321"/>
    <cellStyle name="SAPBEXundefined 3" xfId="866"/>
    <cellStyle name="SAPBEXundefined 3 10" xfId="2500"/>
    <cellStyle name="SAPBEXundefined 3 10 2" xfId="4121"/>
    <cellStyle name="SAPBEXundefined 3 10 2 2" xfId="7076"/>
    <cellStyle name="SAPBEXundefined 3 10 3" xfId="5530"/>
    <cellStyle name="SAPBEXundefined 3 11" xfId="2801"/>
    <cellStyle name="SAPBEXundefined 3 11 2" xfId="5789"/>
    <cellStyle name="SAPBEXundefined 3 2" xfId="1024"/>
    <cellStyle name="SAPBEXundefined 3 2 2" xfId="1588"/>
    <cellStyle name="SAPBEXundefined 3 2 2 2" xfId="3271"/>
    <cellStyle name="SAPBEXundefined 3 2 2 2 2" xfId="6243"/>
    <cellStyle name="SAPBEXundefined 3 2 3" xfId="1764"/>
    <cellStyle name="SAPBEXundefined 3 2 3 2" xfId="3435"/>
    <cellStyle name="SAPBEXundefined 3 2 3 2 2" xfId="6405"/>
    <cellStyle name="SAPBEXundefined 3 2 3 3" xfId="4841"/>
    <cellStyle name="SAPBEXundefined 3 2 4" xfId="1987"/>
    <cellStyle name="SAPBEXundefined 3 2 4 2" xfId="3639"/>
    <cellStyle name="SAPBEXundefined 3 2 4 2 2" xfId="6605"/>
    <cellStyle name="SAPBEXundefined 3 2 4 3" xfId="5041"/>
    <cellStyle name="SAPBEXundefined 3 2 5" xfId="2203"/>
    <cellStyle name="SAPBEXundefined 3 2 5 2" xfId="3841"/>
    <cellStyle name="SAPBEXundefined 3 2 5 2 2" xfId="6801"/>
    <cellStyle name="SAPBEXundefined 3 2 5 3" xfId="5246"/>
    <cellStyle name="SAPBEXundefined 3 2 6" xfId="2415"/>
    <cellStyle name="SAPBEXundefined 3 2 6 2" xfId="4040"/>
    <cellStyle name="SAPBEXundefined 3 2 6 2 2" xfId="6996"/>
    <cellStyle name="SAPBEXundefined 3 2 6 3" xfId="5448"/>
    <cellStyle name="SAPBEXundefined 3 2 7" xfId="2619"/>
    <cellStyle name="SAPBEXundefined 3 2 7 2" xfId="4185"/>
    <cellStyle name="SAPBEXundefined 3 2 7 2 2" xfId="7140"/>
    <cellStyle name="SAPBEXundefined 3 2 7 3" xfId="5646"/>
    <cellStyle name="SAPBEXundefined 3 2 8" xfId="2916"/>
    <cellStyle name="SAPBEXundefined 3 2 8 2" xfId="5902"/>
    <cellStyle name="SAPBEXundefined 3 3" xfId="1044"/>
    <cellStyle name="SAPBEXundefined 3 3 2" xfId="1606"/>
    <cellStyle name="SAPBEXundefined 3 3 2 2" xfId="3288"/>
    <cellStyle name="SAPBEXundefined 3 3 2 2 2" xfId="6259"/>
    <cellStyle name="SAPBEXundefined 3 3 2 3" xfId="4727"/>
    <cellStyle name="SAPBEXundefined 3 3 3" xfId="1784"/>
    <cellStyle name="SAPBEXundefined 3 3 3 2" xfId="3455"/>
    <cellStyle name="SAPBEXundefined 3 3 3 2 2" xfId="6424"/>
    <cellStyle name="SAPBEXundefined 3 3 3 3" xfId="4859"/>
    <cellStyle name="SAPBEXundefined 3 3 4" xfId="2007"/>
    <cellStyle name="SAPBEXundefined 3 3 4 2" xfId="3659"/>
    <cellStyle name="SAPBEXundefined 3 3 4 2 2" xfId="6623"/>
    <cellStyle name="SAPBEXundefined 3 3 4 3" xfId="5059"/>
    <cellStyle name="SAPBEXundefined 3 3 5" xfId="2223"/>
    <cellStyle name="SAPBEXundefined 3 3 5 2" xfId="3861"/>
    <cellStyle name="SAPBEXundefined 3 3 5 2 2" xfId="6819"/>
    <cellStyle name="SAPBEXundefined 3 3 5 3" xfId="5264"/>
    <cellStyle name="SAPBEXundefined 3 3 6" xfId="2435"/>
    <cellStyle name="SAPBEXundefined 3 3 6 2" xfId="4060"/>
    <cellStyle name="SAPBEXundefined 3 3 6 2 2" xfId="7015"/>
    <cellStyle name="SAPBEXundefined 3 3 6 3" xfId="5467"/>
    <cellStyle name="SAPBEXundefined 3 3 7" xfId="2639"/>
    <cellStyle name="SAPBEXundefined 3 3 7 2" xfId="5665"/>
    <cellStyle name="SAPBEXundefined 3 3 8" xfId="2936"/>
    <cellStyle name="SAPBEXundefined 3 3 8 2" xfId="5921"/>
    <cellStyle name="SAPBEXundefined 3 4" xfId="1075"/>
    <cellStyle name="SAPBEXundefined 3 4 2" xfId="1636"/>
    <cellStyle name="SAPBEXundefined 3 4 2 2" xfId="3317"/>
    <cellStyle name="SAPBEXundefined 3 4 2 2 2" xfId="6288"/>
    <cellStyle name="SAPBEXundefined 3 4 2 3" xfId="4756"/>
    <cellStyle name="SAPBEXundefined 3 4 3" xfId="1815"/>
    <cellStyle name="SAPBEXundefined 3 4 3 2" xfId="3486"/>
    <cellStyle name="SAPBEXundefined 3 4 3 2 2" xfId="6455"/>
    <cellStyle name="SAPBEXundefined 3 4 3 3" xfId="4880"/>
    <cellStyle name="SAPBEXundefined 3 4 4" xfId="2038"/>
    <cellStyle name="SAPBEXundefined 3 4 4 2" xfId="3690"/>
    <cellStyle name="SAPBEXundefined 3 4 4 2 2" xfId="6654"/>
    <cellStyle name="SAPBEXundefined 3 4 4 3" xfId="5090"/>
    <cellStyle name="SAPBEXundefined 3 4 5" xfId="2254"/>
    <cellStyle name="SAPBEXundefined 3 4 5 2" xfId="3892"/>
    <cellStyle name="SAPBEXundefined 3 4 5 2 2" xfId="6850"/>
    <cellStyle name="SAPBEXundefined 3 4 5 3" xfId="5295"/>
    <cellStyle name="SAPBEXundefined 3 4 6" xfId="2466"/>
    <cellStyle name="SAPBEXundefined 3 4 6 2" xfId="4091"/>
    <cellStyle name="SAPBEXundefined 3 4 6 2 2" xfId="7046"/>
    <cellStyle name="SAPBEXundefined 3 4 6 3" xfId="5498"/>
    <cellStyle name="SAPBEXundefined 3 4 7" xfId="2670"/>
    <cellStyle name="SAPBEXundefined 3 4 7 2" xfId="5696"/>
    <cellStyle name="SAPBEXundefined 3 4 8" xfId="2967"/>
    <cellStyle name="SAPBEXundefined 3 4 8 2" xfId="5952"/>
    <cellStyle name="SAPBEXundefined 3 5" xfId="1479"/>
    <cellStyle name="SAPBEXundefined 3 5 2" xfId="3183"/>
    <cellStyle name="SAPBEXundefined 3 5 2 2" xfId="6157"/>
    <cellStyle name="SAPBEXundefined 3 6" xfId="1087"/>
    <cellStyle name="SAPBEXundefined 3 6 2" xfId="2979"/>
    <cellStyle name="SAPBEXundefined 3 6 2 2" xfId="5964"/>
    <cellStyle name="SAPBEXundefined 3 6 3" xfId="4398"/>
    <cellStyle name="SAPBEXundefined 3 7" xfId="1859"/>
    <cellStyle name="SAPBEXundefined 3 7 2" xfId="3520"/>
    <cellStyle name="SAPBEXundefined 3 7 2 2" xfId="6488"/>
    <cellStyle name="SAPBEXundefined 3 7 3" xfId="4916"/>
    <cellStyle name="SAPBEXundefined 3 8" xfId="2076"/>
    <cellStyle name="SAPBEXundefined 3 8 2" xfId="3721"/>
    <cellStyle name="SAPBEXundefined 3 8 2 2" xfId="6684"/>
    <cellStyle name="SAPBEXundefined 3 8 3" xfId="5123"/>
    <cellStyle name="SAPBEXundefined 3 9" xfId="2292"/>
    <cellStyle name="SAPBEXundefined 3 9 2" xfId="3923"/>
    <cellStyle name="SAPBEXundefined 3 9 2 2" xfId="6880"/>
    <cellStyle name="SAPBEXundefined 3 9 3" xfId="5328"/>
    <cellStyle name="SAPBEXundefined 4" xfId="904"/>
    <cellStyle name="SAPBEXundefined 4 2" xfId="1654"/>
    <cellStyle name="SAPBEXundefined 4 2 2" xfId="3330"/>
    <cellStyle name="SAPBEXundefined 4 2 2 2" xfId="6301"/>
    <cellStyle name="SAPBEXundefined 4 2 3" xfId="4771"/>
    <cellStyle name="SAPBEXundefined 4 3" xfId="1881"/>
    <cellStyle name="SAPBEXundefined 4 3 2" xfId="3535"/>
    <cellStyle name="SAPBEXundefined 4 3 2 2" xfId="6502"/>
    <cellStyle name="SAPBEXundefined 4 3 3" xfId="4936"/>
    <cellStyle name="SAPBEXundefined 4 4" xfId="2099"/>
    <cellStyle name="SAPBEXundefined 4 4 2" xfId="3737"/>
    <cellStyle name="SAPBEXundefined 4 4 2 2" xfId="6699"/>
    <cellStyle name="SAPBEXundefined 4 4 3" xfId="5144"/>
    <cellStyle name="SAPBEXundefined 4 5" xfId="2312"/>
    <cellStyle name="SAPBEXundefined 4 5 2" xfId="3937"/>
    <cellStyle name="SAPBEXundefined 4 5 2 2" xfId="6894"/>
    <cellStyle name="SAPBEXundefined 4 5 3" xfId="5346"/>
    <cellStyle name="SAPBEXundefined 4 6" xfId="2517"/>
    <cellStyle name="SAPBEXundefined 4 6 2" xfId="4131"/>
    <cellStyle name="SAPBEXundefined 4 6 2 2" xfId="7086"/>
    <cellStyle name="SAPBEXundefined 4 6 3" xfId="5545"/>
    <cellStyle name="SAPBEXundefined 4 7" xfId="2813"/>
    <cellStyle name="SAPBEXundefined 4 7 2" xfId="5801"/>
    <cellStyle name="SAPBEXundefined 4 8" xfId="4342"/>
    <cellStyle name="SAPBEXundefined 5" xfId="989"/>
    <cellStyle name="SAPBEXundefined 5 2" xfId="1560"/>
    <cellStyle name="SAPBEXundefined 5 2 2" xfId="3243"/>
    <cellStyle name="SAPBEXundefined 5 2 2 2" xfId="6215"/>
    <cellStyle name="SAPBEXundefined 5 2 3" xfId="4702"/>
    <cellStyle name="SAPBEXundefined 5 3" xfId="1731"/>
    <cellStyle name="SAPBEXundefined 5 3 2" xfId="3402"/>
    <cellStyle name="SAPBEXundefined 5 3 2 2" xfId="6372"/>
    <cellStyle name="SAPBEXundefined 5 4" xfId="1955"/>
    <cellStyle name="SAPBEXundefined 5 4 2" xfId="3607"/>
    <cellStyle name="SAPBEXundefined 5 4 2 2" xfId="6573"/>
    <cellStyle name="SAPBEXundefined 5 4 3" xfId="5009"/>
    <cellStyle name="SAPBEXundefined 5 5" xfId="2171"/>
    <cellStyle name="SAPBEXundefined 5 5 2" xfId="3809"/>
    <cellStyle name="SAPBEXundefined 5 5 2 2" xfId="6769"/>
    <cellStyle name="SAPBEXundefined 5 5 3" xfId="5214"/>
    <cellStyle name="SAPBEXundefined 5 6" xfId="2383"/>
    <cellStyle name="SAPBEXundefined 5 6 2" xfId="4008"/>
    <cellStyle name="SAPBEXundefined 5 6 2 2" xfId="6964"/>
    <cellStyle name="SAPBEXundefined 5 6 3" xfId="5416"/>
    <cellStyle name="SAPBEXundefined 5 7" xfId="2588"/>
    <cellStyle name="SAPBEXundefined 5 7 2" xfId="5615"/>
    <cellStyle name="SAPBEXundefined 5 8" xfId="2885"/>
    <cellStyle name="SAPBEXundefined 5 8 2" xfId="5871"/>
    <cellStyle name="SAPBEXundefined 6" xfId="1431"/>
    <cellStyle name="SAPBEXundefined 6 2" xfId="3144"/>
    <cellStyle name="SAPBEXundefined 6 2 2" xfId="6119"/>
    <cellStyle name="SAPBEXundefined 6 3" xfId="4609"/>
    <cellStyle name="SAPBEXundefined 7" xfId="1490"/>
    <cellStyle name="SAPBEXundefined 7 2" xfId="3192"/>
    <cellStyle name="SAPBEXundefined 7 2 2" xfId="6166"/>
    <cellStyle name="SAPBEXundefined 7 3" xfId="4644"/>
    <cellStyle name="SAPBEXundefined 8" xfId="1382"/>
    <cellStyle name="SAPBEXundefined 8 2" xfId="3114"/>
    <cellStyle name="SAPBEXundefined 8 2 2" xfId="6090"/>
    <cellStyle name="SAPBEXundefined 8 3" xfId="4574"/>
    <cellStyle name="SAPBEXundefined 9" xfId="1291"/>
    <cellStyle name="SAPBEXundefined 9 2" xfId="3093"/>
    <cellStyle name="SAPBEXundefined 9 2 2" xfId="6070"/>
    <cellStyle name="SAPBEXundefined 9 3" xfId="4544"/>
    <cellStyle name="SAPBEXundefined_Sch-3" xfId="838"/>
    <cellStyle name="SDEntry" xfId="266"/>
    <cellStyle name="SDHeader" xfId="267"/>
    <cellStyle name="SECategory" xfId="268"/>
    <cellStyle name="SEEntry" xfId="269"/>
    <cellStyle name="SEFormula" xfId="270"/>
    <cellStyle name="SEHeader" xfId="271"/>
    <cellStyle name="SELocked" xfId="272"/>
    <cellStyle name="SEPEntry" xfId="273"/>
    <cellStyle name="SPEntry" xfId="274"/>
    <cellStyle name="SPFormula" xfId="275"/>
    <cellStyle name="SPHeader" xfId="276"/>
    <cellStyle name="SPLocked" xfId="277"/>
    <cellStyle name="SRHeader" xfId="278"/>
    <cellStyle name="Standard_Balance Sheet" xfId="279"/>
    <cellStyle name="Style 1" xfId="16"/>
    <cellStyle name="Style 1 2" xfId="280"/>
    <cellStyle name="Style 1 3" xfId="1185"/>
    <cellStyle name="Style 1 4" xfId="1614"/>
    <cellStyle name="Style 1 5" xfId="1277"/>
    <cellStyle name="Style 1 6" xfId="1718"/>
    <cellStyle name="Style 1 7" xfId="1220"/>
    <cellStyle name="Style 1 8" xfId="1704"/>
    <cellStyle name="Style 1 9" xfId="2682"/>
    <cellStyle name="subhead" xfId="281"/>
    <cellStyle name="Subtotal" xfId="282"/>
    <cellStyle name="Text Indent A" xfId="283"/>
    <cellStyle name="Text Indent B" xfId="284"/>
    <cellStyle name="Text Indent C" xfId="285"/>
    <cellStyle name="þ_x001d_ð¤_x000c_¯þ_x0014__x000d_¨þU_x0001_À_x0004_ _x0015__x000f__x0001__x0001_" xfId="286"/>
    <cellStyle name="þ_x001d_ðK_x000c_Fý_x001b__x000d_9ýU_x0001_Ð_x0008_¦)_x0007__x0001__x0001_" xfId="287"/>
    <cellStyle name="Title 2" xfId="820"/>
    <cellStyle name="Total 2" xfId="821"/>
    <cellStyle name="Total 2 2" xfId="931"/>
    <cellStyle name="Total 2 2 2" xfId="1681"/>
    <cellStyle name="Total 2 2 2 2" xfId="3357"/>
    <cellStyle name="Total 2 2 2 2 2" xfId="6327"/>
    <cellStyle name="Total 2 2 2 3" xfId="4797"/>
    <cellStyle name="Total 2 2 3" xfId="1908"/>
    <cellStyle name="Total 2 2 3 2" xfId="3562"/>
    <cellStyle name="Total 2 2 3 2 2" xfId="6528"/>
    <cellStyle name="Total 2 2 3 3" xfId="4962"/>
    <cellStyle name="Total 2 2 4" xfId="2126"/>
    <cellStyle name="Total 2 2 4 2" xfId="3764"/>
    <cellStyle name="Total 2 2 4 2 2" xfId="6725"/>
    <cellStyle name="Total 2 2 4 3" xfId="5170"/>
    <cellStyle name="Total 2 2 5" xfId="2339"/>
    <cellStyle name="Total 2 2 5 2" xfId="3964"/>
    <cellStyle name="Total 2 2 5 2 2" xfId="6920"/>
    <cellStyle name="Total 2 2 5 3" xfId="5372"/>
    <cellStyle name="Total 2 2 6" xfId="2544"/>
    <cellStyle name="Total 2 2 6 2" xfId="4157"/>
    <cellStyle name="Total 2 2 6 2 2" xfId="7112"/>
    <cellStyle name="Total 2 2 6 3" xfId="5571"/>
    <cellStyle name="Total 2 2 7" xfId="2840"/>
    <cellStyle name="Total 2 2 7 2" xfId="5827"/>
    <cellStyle name="Total 2 2 8" xfId="4368"/>
    <cellStyle name="Total 2 3" xfId="953"/>
    <cellStyle name="Total 2 3 2" xfId="1532"/>
    <cellStyle name="Total 2 3 2 2" xfId="3217"/>
    <cellStyle name="Total 2 3 2 2 2" xfId="6190"/>
    <cellStyle name="Total 2 3 2 3" xfId="4678"/>
    <cellStyle name="Total 2 3 3" xfId="1703"/>
    <cellStyle name="Total 2 3 3 2" xfId="3379"/>
    <cellStyle name="Total 2 3 3 2 2" xfId="6349"/>
    <cellStyle name="Total 2 3 4" xfId="1930"/>
    <cellStyle name="Total 2 3 4 2" xfId="3584"/>
    <cellStyle name="Total 2 3 4 2 2" xfId="6550"/>
    <cellStyle name="Total 2 3 4 3" xfId="4984"/>
    <cellStyle name="Total 2 3 5" xfId="2148"/>
    <cellStyle name="Total 2 3 5 2" xfId="3786"/>
    <cellStyle name="Total 2 3 5 2 2" xfId="6747"/>
    <cellStyle name="Total 2 3 5 3" xfId="5192"/>
    <cellStyle name="Total 2 3 6" xfId="2361"/>
    <cellStyle name="Total 2 3 6 2" xfId="3986"/>
    <cellStyle name="Total 2 3 6 2 2" xfId="6942"/>
    <cellStyle name="Total 2 3 6 3" xfId="5394"/>
    <cellStyle name="Total 2 3 7" xfId="2566"/>
    <cellStyle name="Total 2 3 7 2" xfId="5593"/>
    <cellStyle name="Total 2 3 8" xfId="2862"/>
    <cellStyle name="Total 2 3 8 2" xfId="5849"/>
    <cellStyle name="Total 2 4" xfId="1229"/>
    <cellStyle name="Total 2 4 2" xfId="3060"/>
    <cellStyle name="Total 2 4 2 2" xfId="6040"/>
    <cellStyle name="Total 2 4 3" xfId="4499"/>
    <cellStyle name="Total 2 5" xfId="1834"/>
    <cellStyle name="Total 2 5 2" xfId="3500"/>
    <cellStyle name="Total 2 5 2 2" xfId="6468"/>
    <cellStyle name="Total 2 5 3" xfId="4894"/>
    <cellStyle name="Total 2 6" xfId="2052"/>
    <cellStyle name="Total 2 6 2" xfId="3702"/>
    <cellStyle name="Total 2 6 2 2" xfId="6665"/>
    <cellStyle name="Total 2 6 3" xfId="5102"/>
    <cellStyle name="Total 2 7" xfId="2269"/>
    <cellStyle name="Total 2 7 2" xfId="3904"/>
    <cellStyle name="Total 2 7 2 2" xfId="6861"/>
    <cellStyle name="Total 2 7 3" xfId="5307"/>
    <cellStyle name="Total 2 8" xfId="2479"/>
    <cellStyle name="Total 2 8 2" xfId="4102"/>
    <cellStyle name="Total 2 8 2 2" xfId="7057"/>
    <cellStyle name="Total 2 8 3" xfId="5509"/>
    <cellStyle name="Total 2 9" xfId="2782"/>
    <cellStyle name="Total 2 9 2" xfId="5770"/>
    <cellStyle name="Virgulă_Buget 2006 draft 4.1 modificat 27 Noiembrie,concil Cami. xls" xfId="288"/>
    <cellStyle name="Vírgula_Global P&amp;L" xfId="289"/>
    <cellStyle name="Virgulă_MIS format 2006" xfId="290"/>
    <cellStyle name="VN new romanNormal" xfId="291"/>
    <cellStyle name="VN time new roman" xfId="292"/>
    <cellStyle name="vnbo" xfId="293"/>
    <cellStyle name="vnbo 2" xfId="972"/>
    <cellStyle name="vnbo 2 2" xfId="1547"/>
    <cellStyle name="vnbo 2 2 2" xfId="3231"/>
    <cellStyle name="vnbo 2 2 2 2" xfId="6203"/>
    <cellStyle name="vnbo 2 2 3" xfId="4691"/>
    <cellStyle name="vnbo 2 3" xfId="1719"/>
    <cellStyle name="vnbo 2 3 2" xfId="3391"/>
    <cellStyle name="vnbo 2 3 2 2" xfId="6361"/>
    <cellStyle name="vnbo 2 3 3" xfId="4817"/>
    <cellStyle name="vnbo 2 4" xfId="1942"/>
    <cellStyle name="vnbo 2 4 2" xfId="3596"/>
    <cellStyle name="vnbo 2 4 2 2" xfId="6562"/>
    <cellStyle name="vnbo 2 4 3" xfId="4996"/>
    <cellStyle name="vnbo 2 5" xfId="2159"/>
    <cellStyle name="vnbo 2 5 2" xfId="3797"/>
    <cellStyle name="vnbo 2 5 2 2" xfId="6758"/>
    <cellStyle name="vnbo 2 5 3" xfId="5203"/>
    <cellStyle name="vnbo 2 6" xfId="2372"/>
    <cellStyle name="vnbo 2 6 2" xfId="3997"/>
    <cellStyle name="vnbo 2 6 2 2" xfId="6953"/>
    <cellStyle name="vnbo 2 6 3" xfId="5405"/>
    <cellStyle name="vnbo 2 7" xfId="2577"/>
    <cellStyle name="vnbo 2 7 2" xfId="5604"/>
    <cellStyle name="vnbo 2 8" xfId="2873"/>
    <cellStyle name="vnbo 2 8 2" xfId="5860"/>
    <cellStyle name="vnbo 3" xfId="1424"/>
    <cellStyle name="vnbo 3 2" xfId="3139"/>
    <cellStyle name="vnbo 3 2 2" xfId="6114"/>
    <cellStyle name="vnbo 3 3" xfId="4604"/>
    <cellStyle name="vnbo 4" xfId="1118"/>
    <cellStyle name="vnbo 4 2" xfId="2998"/>
    <cellStyle name="vnbo 4 2 2" xfId="5982"/>
    <cellStyle name="vnbo 4 3" xfId="4423"/>
    <cellStyle name="vnbo 5" xfId="1181"/>
    <cellStyle name="vnbo 5 2" xfId="3038"/>
    <cellStyle name="vnbo 5 2 2" xfId="6019"/>
    <cellStyle name="vnbo 5 3" xfId="4469"/>
    <cellStyle name="vnbo 6" xfId="1150"/>
    <cellStyle name="vnbo 6 2" xfId="3018"/>
    <cellStyle name="vnbo 6 2 2" xfId="6000"/>
    <cellStyle name="vnbo 6 3" xfId="4444"/>
    <cellStyle name="vnbo 7" xfId="1497"/>
    <cellStyle name="vnbo 7 2" xfId="3197"/>
    <cellStyle name="vnbo 7 2 2" xfId="6171"/>
    <cellStyle name="vnbo 7 3" xfId="4651"/>
    <cellStyle name="vnbo 8" xfId="2770"/>
    <cellStyle name="vnbo 8 2" xfId="5759"/>
    <cellStyle name="vnbo 9" xfId="4247"/>
    <cellStyle name="vnhead1" xfId="294"/>
    <cellStyle name="vnhead2" xfId="295"/>
    <cellStyle name="vnhead2 2" xfId="970"/>
    <cellStyle name="vnhead2 2 2" xfId="1545"/>
    <cellStyle name="vnhead2 2 2 2" xfId="3229"/>
    <cellStyle name="vnhead2 2 2 2 2" xfId="6202"/>
    <cellStyle name="vnhead2 2 2 3" xfId="4690"/>
    <cellStyle name="vnhead2 2 3" xfId="1717"/>
    <cellStyle name="vnhead2 2 3 2" xfId="3390"/>
    <cellStyle name="vnhead2 2 3 2 2" xfId="6360"/>
    <cellStyle name="vnhead2 2 3 3" xfId="4816"/>
    <cellStyle name="vnhead2 2 4" xfId="1941"/>
    <cellStyle name="vnhead2 2 4 2" xfId="3595"/>
    <cellStyle name="vnhead2 2 4 2 2" xfId="6561"/>
    <cellStyle name="vnhead2 2 4 3" xfId="4995"/>
    <cellStyle name="vnhead2 2 5" xfId="2158"/>
    <cellStyle name="vnhead2 2 5 2" xfId="3796"/>
    <cellStyle name="vnhead2 2 5 2 2" xfId="6757"/>
    <cellStyle name="vnhead2 2 5 3" xfId="5202"/>
    <cellStyle name="vnhead2 2 6" xfId="2371"/>
    <cellStyle name="vnhead2 2 6 2" xfId="3996"/>
    <cellStyle name="vnhead2 2 6 2 2" xfId="6952"/>
    <cellStyle name="vnhead2 2 6 3" xfId="5404"/>
    <cellStyle name="vnhead2 2 7" xfId="2576"/>
    <cellStyle name="vnhead2 2 7 2" xfId="5603"/>
    <cellStyle name="vnhead2 2 8" xfId="2872"/>
    <cellStyle name="vnhead2 2 8 2" xfId="5859"/>
    <cellStyle name="vnhead2 3" xfId="1422"/>
    <cellStyle name="vnhead2 3 2" xfId="3137"/>
    <cellStyle name="vnhead2 3 2 2" xfId="6112"/>
    <cellStyle name="vnhead2 3 3" xfId="4602"/>
    <cellStyle name="vnhead2 4" xfId="1120"/>
    <cellStyle name="vnhead2 4 2" xfId="3000"/>
    <cellStyle name="vnhead2 4 2 2" xfId="5984"/>
    <cellStyle name="vnhead2 4 3" xfId="4425"/>
    <cellStyle name="vnhead2 5" xfId="1180"/>
    <cellStyle name="vnhead2 5 2" xfId="3037"/>
    <cellStyle name="vnhead2 5 2 2" xfId="6018"/>
    <cellStyle name="vnhead2 5 3" xfId="4468"/>
    <cellStyle name="vnhead2 6" xfId="1514"/>
    <cellStyle name="vnhead2 6 2" xfId="3201"/>
    <cellStyle name="vnhead2 6 2 2" xfId="6174"/>
    <cellStyle name="vnhead2 6 3" xfId="4661"/>
    <cellStyle name="vnhead2 7" xfId="1249"/>
    <cellStyle name="vnhead2 7 2" xfId="3066"/>
    <cellStyle name="vnhead2 7 2 2" xfId="6045"/>
    <cellStyle name="vnhead2 7 3" xfId="4512"/>
    <cellStyle name="vnhead2 8" xfId="2771"/>
    <cellStyle name="vnhead2 8 2" xfId="5760"/>
    <cellStyle name="vnhead2 9" xfId="4248"/>
    <cellStyle name="vnhead3" xfId="296"/>
    <cellStyle name="vnhead3 2" xfId="946"/>
    <cellStyle name="vnhead3 2 2" xfId="1525"/>
    <cellStyle name="vnhead3 2 2 2" xfId="3210"/>
    <cellStyle name="vnhead3 2 2 2 2" xfId="6183"/>
    <cellStyle name="vnhead3 2 2 3" xfId="4671"/>
    <cellStyle name="vnhead3 2 3" xfId="1696"/>
    <cellStyle name="vnhead3 2 3 2" xfId="3372"/>
    <cellStyle name="vnhead3 2 3 2 2" xfId="6342"/>
    <cellStyle name="vnhead3 2 3 3" xfId="4809"/>
    <cellStyle name="vnhead3 2 4" xfId="1923"/>
    <cellStyle name="vnhead3 2 4 2" xfId="3577"/>
    <cellStyle name="vnhead3 2 4 2 2" xfId="6543"/>
    <cellStyle name="vnhead3 2 4 3" xfId="4977"/>
    <cellStyle name="vnhead3 2 5" xfId="2141"/>
    <cellStyle name="vnhead3 2 5 2" xfId="3779"/>
    <cellStyle name="vnhead3 2 5 2 2" xfId="6740"/>
    <cellStyle name="vnhead3 2 5 3" xfId="5185"/>
    <cellStyle name="vnhead3 2 6" xfId="2354"/>
    <cellStyle name="vnhead3 2 6 2" xfId="3979"/>
    <cellStyle name="vnhead3 2 6 2 2" xfId="6935"/>
    <cellStyle name="vnhead3 2 6 3" xfId="5387"/>
    <cellStyle name="vnhead3 2 7" xfId="2559"/>
    <cellStyle name="vnhead3 2 7 2" xfId="5586"/>
    <cellStyle name="vnhead3 2 8" xfId="2855"/>
    <cellStyle name="vnhead3 2 8 2" xfId="5842"/>
    <cellStyle name="vnhead3 3" xfId="1421"/>
    <cellStyle name="vnhead3 3 2" xfId="3136"/>
    <cellStyle name="vnhead3 3 2 2" xfId="6111"/>
    <cellStyle name="vnhead3 3 3" xfId="4601"/>
    <cellStyle name="vnhead3 4" xfId="1121"/>
    <cellStyle name="vnhead3 4 2" xfId="3001"/>
    <cellStyle name="vnhead3 4 2 2" xfId="5985"/>
    <cellStyle name="vnhead3 4 3" xfId="4426"/>
    <cellStyle name="vnhead3 5" xfId="1380"/>
    <cellStyle name="vnhead3 5 2" xfId="3112"/>
    <cellStyle name="vnhead3 5 2 2" xfId="6088"/>
    <cellStyle name="vnhead3 5 3" xfId="4573"/>
    <cellStyle name="vnhead3 6" xfId="1168"/>
    <cellStyle name="vnhead3 6 2" xfId="3034"/>
    <cellStyle name="vnhead3 6 2 2" xfId="6015"/>
    <cellStyle name="vnhead3 6 3" xfId="4459"/>
    <cellStyle name="vnhead3 7" xfId="1248"/>
    <cellStyle name="vnhead3 7 2" xfId="3065"/>
    <cellStyle name="vnhead3 7 2 2" xfId="6044"/>
    <cellStyle name="vnhead3 7 3" xfId="4511"/>
    <cellStyle name="vnhead3 8" xfId="2772"/>
    <cellStyle name="vnhead3 8 2" xfId="5761"/>
    <cellStyle name="vnhead3 9" xfId="4249"/>
    <cellStyle name="vnhead4" xfId="297"/>
    <cellStyle name="vntxt1" xfId="298"/>
    <cellStyle name="vntxt2" xfId="299"/>
    <cellStyle name="Warning Text 2" xfId="822"/>
    <cellStyle name="xuan" xfId="300"/>
    <cellStyle name="Обычный_05-11-04" xfId="301"/>
    <cellStyle name="Финансовый_01-03" xfId="302"/>
    <cellStyle name=" [0.00]_ Att. 1- Cover" xfId="334"/>
    <cellStyle name="_ Att. 1- Cover" xfId="335"/>
    <cellStyle name="?_ Att. 1- Cover" xfId="336"/>
    <cellStyle name="똿뗦먛귟 [0.00]_PRODUCT DETAIL Q1" xfId="303"/>
    <cellStyle name="똿뗦먛귟_PRODUCT DETAIL Q1" xfId="304"/>
    <cellStyle name="믅됞 [0.00]_PRODUCT DETAIL Q1" xfId="305"/>
    <cellStyle name="믅됞_PRODUCT DETAIL Q1" xfId="306"/>
    <cellStyle name="백분율_95" xfId="307"/>
    <cellStyle name="뷭?_BOOKSHIP" xfId="308"/>
    <cellStyle name="콤마 [ - 유형1" xfId="314"/>
    <cellStyle name="콤마 [ - 유형2" xfId="315"/>
    <cellStyle name="콤마 [ - 유형3" xfId="316"/>
    <cellStyle name="콤마 [ - 유형4" xfId="317"/>
    <cellStyle name="콤마 [ - 유형5" xfId="318"/>
    <cellStyle name="콤마 [ - 유형6" xfId="319"/>
    <cellStyle name="콤마 [ - 유형7" xfId="320"/>
    <cellStyle name="콤마 [ - 유형8" xfId="321"/>
    <cellStyle name="콤마 [0]_0004 MECH COST  " xfId="322"/>
    <cellStyle name="콤마_0004 MECH COST  " xfId="323"/>
    <cellStyle name="통화 [0]_1202" xfId="324"/>
    <cellStyle name="통화_1202" xfId="325"/>
    <cellStyle name="표준_(정보부문)월별인원계획" xfId="326"/>
    <cellStyle name="一般_00Q3902REV.1" xfId="309"/>
    <cellStyle name="千位分隔[0]_classfy" xfId="310"/>
    <cellStyle name="千位分隔_Book2" xfId="311"/>
    <cellStyle name="千分位[0]_00Q3902REV.1" xfId="312"/>
    <cellStyle name="千分位_00Q3902REV.1" xfId="313"/>
    <cellStyle name="常规_2005-04" xfId="327"/>
    <cellStyle name="桁区切り_工費" xfId="328"/>
    <cellStyle name="標準_工費" xfId="329"/>
    <cellStyle name="百分比_Lowexpiry0308" xfId="330"/>
    <cellStyle name="貨幣 [0]_00Q3902REV.1" xfId="331"/>
    <cellStyle name="貨幣[0]_BRE" xfId="332"/>
    <cellStyle name="貨幣_00Q3902REV.1" xfId="333"/>
  </cellStyles>
  <dxfs count="1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00FFFF"/>
      <color rgb="FF00FFCC"/>
      <color rgb="FF00FF99"/>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45.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externalLink" Target="externalLinks/externalLink12.xml"/><Relationship Id="rId138" Type="http://schemas.openxmlformats.org/officeDocument/2006/relationships/externalLink" Target="externalLinks/externalLink66.xml"/><Relationship Id="rId159" Type="http://schemas.openxmlformats.org/officeDocument/2006/relationships/externalLink" Target="externalLinks/externalLink87.xml"/><Relationship Id="rId170" Type="http://schemas.openxmlformats.org/officeDocument/2006/relationships/externalLink" Target="externalLinks/externalLink98.xml"/><Relationship Id="rId191" Type="http://schemas.openxmlformats.org/officeDocument/2006/relationships/externalLink" Target="externalLinks/externalLink119.xml"/><Relationship Id="rId205" Type="http://schemas.openxmlformats.org/officeDocument/2006/relationships/calcChain" Target="calcChain.xml"/><Relationship Id="rId107" Type="http://schemas.openxmlformats.org/officeDocument/2006/relationships/externalLink" Target="externalLinks/externalLink35.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externalLink" Target="externalLinks/externalLink2.xml"/><Relationship Id="rId128" Type="http://schemas.openxmlformats.org/officeDocument/2006/relationships/externalLink" Target="externalLinks/externalLink56.xml"/><Relationship Id="rId149" Type="http://schemas.openxmlformats.org/officeDocument/2006/relationships/externalLink" Target="externalLinks/externalLink77.xml"/><Relationship Id="rId5" Type="http://schemas.openxmlformats.org/officeDocument/2006/relationships/worksheet" Target="worksheets/sheet5.xml"/><Relationship Id="rId95" Type="http://schemas.openxmlformats.org/officeDocument/2006/relationships/externalLink" Target="externalLinks/externalLink23.xml"/><Relationship Id="rId160" Type="http://schemas.openxmlformats.org/officeDocument/2006/relationships/externalLink" Target="externalLinks/externalLink88.xml"/><Relationship Id="rId181" Type="http://schemas.openxmlformats.org/officeDocument/2006/relationships/externalLink" Target="externalLinks/externalLink109.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externalLink" Target="externalLinks/externalLink46.xml"/><Relationship Id="rId139" Type="http://schemas.openxmlformats.org/officeDocument/2006/relationships/externalLink" Target="externalLinks/externalLink67.xml"/><Relationship Id="rId85" Type="http://schemas.openxmlformats.org/officeDocument/2006/relationships/externalLink" Target="externalLinks/externalLink13.xml"/><Relationship Id="rId150" Type="http://schemas.openxmlformats.org/officeDocument/2006/relationships/externalLink" Target="externalLinks/externalLink78.xml"/><Relationship Id="rId171" Type="http://schemas.openxmlformats.org/officeDocument/2006/relationships/externalLink" Target="externalLinks/externalLink99.xml"/><Relationship Id="rId192" Type="http://schemas.openxmlformats.org/officeDocument/2006/relationships/externalLink" Target="externalLinks/externalLink120.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externalLink" Target="externalLinks/externalLink36.xml"/><Relationship Id="rId129" Type="http://schemas.openxmlformats.org/officeDocument/2006/relationships/externalLink" Target="externalLinks/externalLink57.xml"/><Relationship Id="rId54" Type="http://schemas.openxmlformats.org/officeDocument/2006/relationships/worksheet" Target="worksheets/sheet54.xml"/><Relationship Id="rId75" Type="http://schemas.openxmlformats.org/officeDocument/2006/relationships/externalLink" Target="externalLinks/externalLink3.xml"/><Relationship Id="rId96" Type="http://schemas.openxmlformats.org/officeDocument/2006/relationships/externalLink" Target="externalLinks/externalLink24.xml"/><Relationship Id="rId140" Type="http://schemas.openxmlformats.org/officeDocument/2006/relationships/externalLink" Target="externalLinks/externalLink68.xml"/><Relationship Id="rId161" Type="http://schemas.openxmlformats.org/officeDocument/2006/relationships/externalLink" Target="externalLinks/externalLink89.xml"/><Relationship Id="rId182" Type="http://schemas.openxmlformats.org/officeDocument/2006/relationships/externalLink" Target="externalLinks/externalLink110.xml"/><Relationship Id="rId6" Type="http://schemas.openxmlformats.org/officeDocument/2006/relationships/worksheet" Target="worksheets/sheet6.xml"/><Relationship Id="rId23" Type="http://schemas.openxmlformats.org/officeDocument/2006/relationships/worksheet" Target="worksheets/sheet23.xml"/><Relationship Id="rId119" Type="http://schemas.openxmlformats.org/officeDocument/2006/relationships/externalLink" Target="externalLinks/externalLink47.xml"/><Relationship Id="rId44" Type="http://schemas.openxmlformats.org/officeDocument/2006/relationships/worksheet" Target="worksheets/sheet44.xml"/><Relationship Id="rId65" Type="http://schemas.openxmlformats.org/officeDocument/2006/relationships/worksheet" Target="worksheets/sheet65.xml"/><Relationship Id="rId86" Type="http://schemas.openxmlformats.org/officeDocument/2006/relationships/externalLink" Target="externalLinks/externalLink14.xml"/><Relationship Id="rId130" Type="http://schemas.openxmlformats.org/officeDocument/2006/relationships/externalLink" Target="externalLinks/externalLink58.xml"/><Relationship Id="rId151" Type="http://schemas.openxmlformats.org/officeDocument/2006/relationships/externalLink" Target="externalLinks/externalLink79.xml"/><Relationship Id="rId172" Type="http://schemas.openxmlformats.org/officeDocument/2006/relationships/externalLink" Target="externalLinks/externalLink100.xml"/><Relationship Id="rId193" Type="http://schemas.openxmlformats.org/officeDocument/2006/relationships/externalLink" Target="externalLinks/externalLink121.xml"/><Relationship Id="rId13" Type="http://schemas.openxmlformats.org/officeDocument/2006/relationships/worksheet" Target="worksheets/sheet13.xml"/><Relationship Id="rId109" Type="http://schemas.openxmlformats.org/officeDocument/2006/relationships/externalLink" Target="externalLinks/externalLink37.xml"/><Relationship Id="rId34" Type="http://schemas.openxmlformats.org/officeDocument/2006/relationships/worksheet" Target="worksheets/sheet34.xml"/><Relationship Id="rId55" Type="http://schemas.openxmlformats.org/officeDocument/2006/relationships/worksheet" Target="worksheets/sheet55.xml"/><Relationship Id="rId76" Type="http://schemas.openxmlformats.org/officeDocument/2006/relationships/externalLink" Target="externalLinks/externalLink4.xml"/><Relationship Id="rId97" Type="http://schemas.openxmlformats.org/officeDocument/2006/relationships/externalLink" Target="externalLinks/externalLink25.xml"/><Relationship Id="rId120" Type="http://schemas.openxmlformats.org/officeDocument/2006/relationships/externalLink" Target="externalLinks/externalLink48.xml"/><Relationship Id="rId141" Type="http://schemas.openxmlformats.org/officeDocument/2006/relationships/externalLink" Target="externalLinks/externalLink69.xml"/><Relationship Id="rId7" Type="http://schemas.openxmlformats.org/officeDocument/2006/relationships/worksheet" Target="worksheets/sheet7.xml"/><Relationship Id="rId162" Type="http://schemas.openxmlformats.org/officeDocument/2006/relationships/externalLink" Target="externalLinks/externalLink90.xml"/><Relationship Id="rId183" Type="http://schemas.openxmlformats.org/officeDocument/2006/relationships/externalLink" Target="externalLinks/externalLink111.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externalLink" Target="externalLinks/externalLink15.xml"/><Relationship Id="rId110" Type="http://schemas.openxmlformats.org/officeDocument/2006/relationships/externalLink" Target="externalLinks/externalLink38.xml"/><Relationship Id="rId115" Type="http://schemas.openxmlformats.org/officeDocument/2006/relationships/externalLink" Target="externalLinks/externalLink43.xml"/><Relationship Id="rId131" Type="http://schemas.openxmlformats.org/officeDocument/2006/relationships/externalLink" Target="externalLinks/externalLink59.xml"/><Relationship Id="rId136" Type="http://schemas.openxmlformats.org/officeDocument/2006/relationships/externalLink" Target="externalLinks/externalLink64.xml"/><Relationship Id="rId157" Type="http://schemas.openxmlformats.org/officeDocument/2006/relationships/externalLink" Target="externalLinks/externalLink85.xml"/><Relationship Id="rId178" Type="http://schemas.openxmlformats.org/officeDocument/2006/relationships/externalLink" Target="externalLinks/externalLink106.xml"/><Relationship Id="rId61" Type="http://schemas.openxmlformats.org/officeDocument/2006/relationships/worksheet" Target="worksheets/sheet61.xml"/><Relationship Id="rId82" Type="http://schemas.openxmlformats.org/officeDocument/2006/relationships/externalLink" Target="externalLinks/externalLink10.xml"/><Relationship Id="rId152" Type="http://schemas.openxmlformats.org/officeDocument/2006/relationships/externalLink" Target="externalLinks/externalLink80.xml"/><Relationship Id="rId173" Type="http://schemas.openxmlformats.org/officeDocument/2006/relationships/externalLink" Target="externalLinks/externalLink101.xml"/><Relationship Id="rId194" Type="http://schemas.openxmlformats.org/officeDocument/2006/relationships/externalLink" Target="externalLinks/externalLink122.xml"/><Relationship Id="rId199" Type="http://schemas.openxmlformats.org/officeDocument/2006/relationships/externalLink" Target="externalLinks/externalLink127.xml"/><Relationship Id="rId203"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externalLink" Target="externalLinks/externalLink5.xml"/><Relationship Id="rId100" Type="http://schemas.openxmlformats.org/officeDocument/2006/relationships/externalLink" Target="externalLinks/externalLink28.xml"/><Relationship Id="rId105" Type="http://schemas.openxmlformats.org/officeDocument/2006/relationships/externalLink" Target="externalLinks/externalLink33.xml"/><Relationship Id="rId126" Type="http://schemas.openxmlformats.org/officeDocument/2006/relationships/externalLink" Target="externalLinks/externalLink54.xml"/><Relationship Id="rId147" Type="http://schemas.openxmlformats.org/officeDocument/2006/relationships/externalLink" Target="externalLinks/externalLink75.xml"/><Relationship Id="rId168" Type="http://schemas.openxmlformats.org/officeDocument/2006/relationships/externalLink" Target="externalLinks/externalLink9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externalLink" Target="externalLinks/externalLink21.xml"/><Relationship Id="rId98" Type="http://schemas.openxmlformats.org/officeDocument/2006/relationships/externalLink" Target="externalLinks/externalLink26.xml"/><Relationship Id="rId121" Type="http://schemas.openxmlformats.org/officeDocument/2006/relationships/externalLink" Target="externalLinks/externalLink49.xml"/><Relationship Id="rId142" Type="http://schemas.openxmlformats.org/officeDocument/2006/relationships/externalLink" Target="externalLinks/externalLink70.xml"/><Relationship Id="rId163" Type="http://schemas.openxmlformats.org/officeDocument/2006/relationships/externalLink" Target="externalLinks/externalLink91.xml"/><Relationship Id="rId184" Type="http://schemas.openxmlformats.org/officeDocument/2006/relationships/externalLink" Target="externalLinks/externalLink112.xml"/><Relationship Id="rId189" Type="http://schemas.openxmlformats.org/officeDocument/2006/relationships/externalLink" Target="externalLinks/externalLink117.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externalLink" Target="externalLinks/externalLink44.xml"/><Relationship Id="rId137" Type="http://schemas.openxmlformats.org/officeDocument/2006/relationships/externalLink" Target="externalLinks/externalLink65.xml"/><Relationship Id="rId158" Type="http://schemas.openxmlformats.org/officeDocument/2006/relationships/externalLink" Target="externalLinks/externalLink8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externalLink" Target="externalLinks/externalLink11.xml"/><Relationship Id="rId88" Type="http://schemas.openxmlformats.org/officeDocument/2006/relationships/externalLink" Target="externalLinks/externalLink16.xml"/><Relationship Id="rId111" Type="http://schemas.openxmlformats.org/officeDocument/2006/relationships/externalLink" Target="externalLinks/externalLink39.xml"/><Relationship Id="rId132" Type="http://schemas.openxmlformats.org/officeDocument/2006/relationships/externalLink" Target="externalLinks/externalLink60.xml"/><Relationship Id="rId153" Type="http://schemas.openxmlformats.org/officeDocument/2006/relationships/externalLink" Target="externalLinks/externalLink81.xml"/><Relationship Id="rId174" Type="http://schemas.openxmlformats.org/officeDocument/2006/relationships/externalLink" Target="externalLinks/externalLink102.xml"/><Relationship Id="rId179" Type="http://schemas.openxmlformats.org/officeDocument/2006/relationships/externalLink" Target="externalLinks/externalLink107.xml"/><Relationship Id="rId195" Type="http://schemas.openxmlformats.org/officeDocument/2006/relationships/externalLink" Target="externalLinks/externalLink123.xml"/><Relationship Id="rId209" Type="http://schemas.microsoft.com/office/2017/10/relationships/person" Target="persons/person.xml"/><Relationship Id="rId190" Type="http://schemas.openxmlformats.org/officeDocument/2006/relationships/externalLink" Target="externalLinks/externalLink118.xml"/><Relationship Id="rId204" Type="http://schemas.openxmlformats.org/officeDocument/2006/relationships/sharedStrings" Target="sharedStrings.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externalLink" Target="externalLinks/externalLink34.xml"/><Relationship Id="rId127" Type="http://schemas.openxmlformats.org/officeDocument/2006/relationships/externalLink" Target="externalLinks/externalLink55.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externalLink" Target="externalLinks/externalLink1.xml"/><Relationship Id="rId78" Type="http://schemas.openxmlformats.org/officeDocument/2006/relationships/externalLink" Target="externalLinks/externalLink6.xml"/><Relationship Id="rId94" Type="http://schemas.openxmlformats.org/officeDocument/2006/relationships/externalLink" Target="externalLinks/externalLink22.xml"/><Relationship Id="rId99" Type="http://schemas.openxmlformats.org/officeDocument/2006/relationships/externalLink" Target="externalLinks/externalLink27.xml"/><Relationship Id="rId101" Type="http://schemas.openxmlformats.org/officeDocument/2006/relationships/externalLink" Target="externalLinks/externalLink29.xml"/><Relationship Id="rId122" Type="http://schemas.openxmlformats.org/officeDocument/2006/relationships/externalLink" Target="externalLinks/externalLink50.xml"/><Relationship Id="rId143" Type="http://schemas.openxmlformats.org/officeDocument/2006/relationships/externalLink" Target="externalLinks/externalLink71.xml"/><Relationship Id="rId148" Type="http://schemas.openxmlformats.org/officeDocument/2006/relationships/externalLink" Target="externalLinks/externalLink76.xml"/><Relationship Id="rId164" Type="http://schemas.openxmlformats.org/officeDocument/2006/relationships/externalLink" Target="externalLinks/externalLink92.xml"/><Relationship Id="rId169" Type="http://schemas.openxmlformats.org/officeDocument/2006/relationships/externalLink" Target="externalLinks/externalLink97.xml"/><Relationship Id="rId185" Type="http://schemas.openxmlformats.org/officeDocument/2006/relationships/externalLink" Target="externalLinks/externalLink113.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externalLink" Target="externalLinks/externalLink108.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externalLink" Target="externalLinks/externalLink17.xml"/><Relationship Id="rId112" Type="http://schemas.openxmlformats.org/officeDocument/2006/relationships/externalLink" Target="externalLinks/externalLink40.xml"/><Relationship Id="rId133" Type="http://schemas.openxmlformats.org/officeDocument/2006/relationships/externalLink" Target="externalLinks/externalLink61.xml"/><Relationship Id="rId154" Type="http://schemas.openxmlformats.org/officeDocument/2006/relationships/externalLink" Target="externalLinks/externalLink82.xml"/><Relationship Id="rId175" Type="http://schemas.openxmlformats.org/officeDocument/2006/relationships/externalLink" Target="externalLinks/externalLink103.xml"/><Relationship Id="rId196" Type="http://schemas.openxmlformats.org/officeDocument/2006/relationships/externalLink" Target="externalLinks/externalLink124.xml"/><Relationship Id="rId200" Type="http://schemas.openxmlformats.org/officeDocument/2006/relationships/externalLink" Target="externalLinks/externalLink128.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externalLink" Target="externalLinks/externalLink7.xml"/><Relationship Id="rId102" Type="http://schemas.openxmlformats.org/officeDocument/2006/relationships/externalLink" Target="externalLinks/externalLink30.xml"/><Relationship Id="rId123" Type="http://schemas.openxmlformats.org/officeDocument/2006/relationships/externalLink" Target="externalLinks/externalLink51.xml"/><Relationship Id="rId144" Type="http://schemas.openxmlformats.org/officeDocument/2006/relationships/externalLink" Target="externalLinks/externalLink72.xml"/><Relationship Id="rId90" Type="http://schemas.openxmlformats.org/officeDocument/2006/relationships/externalLink" Target="externalLinks/externalLink18.xml"/><Relationship Id="rId165" Type="http://schemas.openxmlformats.org/officeDocument/2006/relationships/externalLink" Target="externalLinks/externalLink93.xml"/><Relationship Id="rId186" Type="http://schemas.openxmlformats.org/officeDocument/2006/relationships/externalLink" Target="externalLinks/externalLink114.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externalLink" Target="externalLinks/externalLink41.xml"/><Relationship Id="rId134" Type="http://schemas.openxmlformats.org/officeDocument/2006/relationships/externalLink" Target="externalLinks/externalLink62.xml"/><Relationship Id="rId80" Type="http://schemas.openxmlformats.org/officeDocument/2006/relationships/externalLink" Target="externalLinks/externalLink8.xml"/><Relationship Id="rId155" Type="http://schemas.openxmlformats.org/officeDocument/2006/relationships/externalLink" Target="externalLinks/externalLink83.xml"/><Relationship Id="rId176" Type="http://schemas.openxmlformats.org/officeDocument/2006/relationships/externalLink" Target="externalLinks/externalLink104.xml"/><Relationship Id="rId197" Type="http://schemas.openxmlformats.org/officeDocument/2006/relationships/externalLink" Target="externalLinks/externalLink125.xml"/><Relationship Id="rId201" Type="http://schemas.openxmlformats.org/officeDocument/2006/relationships/externalLink" Target="externalLinks/externalLink129.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externalLink" Target="externalLinks/externalLink31.xml"/><Relationship Id="rId124" Type="http://schemas.openxmlformats.org/officeDocument/2006/relationships/externalLink" Target="externalLinks/externalLink52.xml"/><Relationship Id="rId70" Type="http://schemas.openxmlformats.org/officeDocument/2006/relationships/worksheet" Target="worksheets/sheet70.xml"/><Relationship Id="rId91" Type="http://schemas.openxmlformats.org/officeDocument/2006/relationships/externalLink" Target="externalLinks/externalLink19.xml"/><Relationship Id="rId145" Type="http://schemas.openxmlformats.org/officeDocument/2006/relationships/externalLink" Target="externalLinks/externalLink73.xml"/><Relationship Id="rId166" Type="http://schemas.openxmlformats.org/officeDocument/2006/relationships/externalLink" Target="externalLinks/externalLink94.xml"/><Relationship Id="rId187" Type="http://schemas.openxmlformats.org/officeDocument/2006/relationships/externalLink" Target="externalLinks/externalLink115.xml"/><Relationship Id="rId1" Type="http://schemas.openxmlformats.org/officeDocument/2006/relationships/worksheet" Target="worksheets/sheet1.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externalLink" Target="externalLinks/externalLink42.xml"/><Relationship Id="rId60" Type="http://schemas.openxmlformats.org/officeDocument/2006/relationships/worksheet" Target="worksheets/sheet60.xml"/><Relationship Id="rId81" Type="http://schemas.openxmlformats.org/officeDocument/2006/relationships/externalLink" Target="externalLinks/externalLink9.xml"/><Relationship Id="rId135" Type="http://schemas.openxmlformats.org/officeDocument/2006/relationships/externalLink" Target="externalLinks/externalLink63.xml"/><Relationship Id="rId156" Type="http://schemas.openxmlformats.org/officeDocument/2006/relationships/externalLink" Target="externalLinks/externalLink84.xml"/><Relationship Id="rId177" Type="http://schemas.openxmlformats.org/officeDocument/2006/relationships/externalLink" Target="externalLinks/externalLink105.xml"/><Relationship Id="rId198" Type="http://schemas.openxmlformats.org/officeDocument/2006/relationships/externalLink" Target="externalLinks/externalLink126.xml"/><Relationship Id="rId202" Type="http://schemas.openxmlformats.org/officeDocument/2006/relationships/theme" Target="theme/theme1.xml"/><Relationship Id="rId18" Type="http://schemas.openxmlformats.org/officeDocument/2006/relationships/worksheet" Target="worksheets/sheet18.xml"/><Relationship Id="rId39" Type="http://schemas.openxmlformats.org/officeDocument/2006/relationships/worksheet" Target="worksheets/sheet39.xml"/><Relationship Id="rId50" Type="http://schemas.openxmlformats.org/officeDocument/2006/relationships/worksheet" Target="worksheets/sheet50.xml"/><Relationship Id="rId104" Type="http://schemas.openxmlformats.org/officeDocument/2006/relationships/externalLink" Target="externalLinks/externalLink32.xml"/><Relationship Id="rId125" Type="http://schemas.openxmlformats.org/officeDocument/2006/relationships/externalLink" Target="externalLinks/externalLink53.xml"/><Relationship Id="rId146" Type="http://schemas.openxmlformats.org/officeDocument/2006/relationships/externalLink" Target="externalLinks/externalLink74.xml"/><Relationship Id="rId167" Type="http://schemas.openxmlformats.org/officeDocument/2006/relationships/externalLink" Target="externalLinks/externalLink95.xml"/><Relationship Id="rId188" Type="http://schemas.openxmlformats.org/officeDocument/2006/relationships/externalLink" Target="externalLinks/externalLink116.xml"/><Relationship Id="rId71" Type="http://schemas.openxmlformats.org/officeDocument/2006/relationships/worksheet" Target="worksheets/sheet71.xml"/><Relationship Id="rId92" Type="http://schemas.openxmlformats.org/officeDocument/2006/relationships/externalLink" Target="externalLinks/externalLink20.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SAUPCU.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nant\commercial\WINDOWS\TEMP\XlsGJB\Share\Financial%20Estimates.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Sameer's%20folder/MSEB/Tariff%20Filing%202003-04/Outputs/Models/Working%20Models/old/Dispatch%202.0.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santosh%20back%20up/Backup%203/IMACS/PSTPCL/fwdpstclprojectknowledgetransfer/ARR%20Models/Workings%20PSTCL.xlsx"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Hn035\c\COE\CSG\BDVMPL.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Computer7\haribhakti%20&amp;\Old%20Working\XLS\Regrouping%20of%20BS_P&amp;L_old.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temp/&#51204;&#44221;&#51652;/FORMOSA/Q98-014/r51p5030.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D:\Assignments\Chattisgarh\MYT\MYT\CSPDCL\Model\CSPDCL_MYT_FY%2017-FY21_Rev%2006_12.02.16.xlsx"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Documents%20and%20Settings/Percy%20H%20Edibam/My%20Documents/Percy/CRD/Nov%2005/FY06%20B100%20MIS%20format%20Nov%2005.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172.16.201.79\disaggregate\Final%20Write%20up,%20Tables%20and%20Model_II\wagle\B040tob068_short.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Eispmpc\users\My%20Documents\WBS%20800\New\BS-Template-Test.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Documents%20and%20Settings/h112728/My%20Documents/ACE%20&#49688;&#54665;&#50629;&#47924;%20ACE/01%20Project/04%20Zawia%20Cond/&#50696;&#49328;&#44288;&#47532;/&#47785;&#54364;&#50696;&#49328;/&#54408;&#51032;&#49436;%20&#52392;&#48512;%20&#51088;&#47308;/&#44204;&#51201;%20&#51088;&#47308;/Zawia%20&#47785;&#54364;&#50696;&#49328;%20(&#54788;&#45824;&#44148;&#49444;_2004.10.2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Users\HP\Desktop\DT%20Folders\Payments%20to%20AP%20AE\DT%20220809\Documents%20and%20Settings\Purushotham\Local%20Settings\Temporary%20Internet%20Files\OLK33\XlsGJB\Share\Financial%20Estimates.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OFFICIAL/MIS/MIS%20FY%2005-06/12-Mar%2006/Board/Qtly%20Details%20-%20Q4%20FY%2006%20(Link-BoD).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H:\Documents%20and%20Settings\parun\My%20Documents\Arun\Industrial%20energy%20Limited\June%20qrtr%2008\revised%20icd.xls" TargetMode="External"/></Relationships>
</file>

<file path=xl/externalLinks/_rels/externalLink112.xml.rels><?xml version="1.0" encoding="UTF-8" standalone="yes"?>
<Relationships xmlns="http://schemas.openxmlformats.org/package/2006/relationships"><Relationship Id="rId1" Type="http://schemas.microsoft.com/office/2006/relationships/xlExternalLinkPath/xlPathMissing" Target="Worksheet%20in%208703%20EFFECTIVE%20TAX%20RATE"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I:\Performance\PERFORMANCE\ocm\Yearly_perf\OCMJAN2000.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SHICO\&#49444;&#44228;&#48512;\&#49444;&#44228;&#44204;&#51201;\&#44204;&#51201;&#49436;-2.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h:\My%20Documents\&#48652;&#46972;&#51656;%20T.L&#48264;&#54840;&#49692;(1.336)(FINAL).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51060;&#52285;&#49885;/clamp.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My%20Documents/co-gen/cspdata/TAIWAN/P-RACK/FURNACE.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49440;&#48120;\C\&#51116;&#47308;&#51312;&#49436;&#51089;&#49457;\&#54812;&#50689;\VBA\&#50641;&#49472;&#48708;&#48288;\&#50672;&#46041;&#53092;&#48372;&#50696;&#51228;.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WIN98/TEMP/JO970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OLD%20PC\ADORN_27.09.2011\06-08-2011\NMD%20II%2026.07.11\windows\TEMP\XlsGJB\Share\Financial%20Estimates.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51204;&#50689;&#44428;\C\HDLAN\MAIL\08&#49324;&#51109;&#45800;.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Documents%20and%20Settings/h112728/My%20Documents/ACE%20&#49688;&#54665;&#50629;&#47924;%20ACE/01%20Project/04%20Zawia%20Cond/&#50696;&#49328;&#44288;&#47532;/&#47785;&#54364;&#50696;&#49328;/&#54408;&#51032;&#49436;%20&#52392;&#48512;%20&#51088;&#47308;/&#44204;&#51201;%20&#51088;&#47308;/Doc/Proposal/U.A%20Extension/&#44204;&#51201;&#44592;&#51456;%20&#52280;&#51312;.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http://www35.daum.net/WIN98/TEMP/0INV/HEC/SHIP-SCH.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http://www35.daum.net/WIN98/TEMP/REPORT07.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H3524\map\MAP&#47588;&#45684;&#50620;&#52572;&#51333;(2&#52264;&#44060;&#51221;).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D:\Assignments\BSPTCL\BSPTCL%2020-21\Capex\Capex\Summary%20Capitalization%20Annexure%2014112019.xlsx"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Users/H%20P/Desktop/BSPTCL/Draft%20Petition/BSPTCL/Revised%20draft_10.12.21/Final%20BERC%20Investment_09.12.21.xlsx"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Users/H%20P/Desktop/BSPTCL/Draft%20Petition/BSPTCL/Revised%20draft_13.12.21/Final%20BERC%20Investment_12.12.21.xlsx"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E:\Mumbai%20Office%2021\BSPTCL\Data%20Received%20from%20BSPTCL\Finance%20Data\BSPTCL%2020-21%20Financial%202020-21%20%20absolute%20figure.xlsx"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Users/H%20P/Desktop/BSPTCL/Audited%20Accounts%20FY20-21/BSPTCL%2020-21%20Financial%202020-21%20%20absolute%20figure.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OLD%20PC/002/DESKTOP%2016.03.2013/02.02.13/DT%2001.12.12/RESOURCE%202013-14/DT%2007.09.2011/06-08-2011/NMD%20II%2026.07.11/PD%202%2015.07.2011/NMD-II%2017/NMD-II%2014.06.2011/1231/windows/TEMP/XlsGJB/Share/Financial%20Estimates.xls" TargetMode="External"/></Relationships>
</file>

<file path=xl/externalLinks/_rels/externalLink14.xml.rels><?xml version="1.0" encoding="UTF-8" standalone="yes"?>
<Relationships xmlns="http://schemas.openxmlformats.org/package/2006/relationships"><Relationship Id="rId2" Type="http://schemas.microsoft.com/office/2019/04/relationships/externalLinkLongPath" Target="/OLD%20PC/002/DESKTOP%2016.03.2013/DT%2021.02.2013/TRUE%20UP%202011-12/DT%2001.12.12/RESOURCE%202013-14/DT%2007.09.2011/06-08-2011/NMD%20II%2026.07.11/PD%202%2015.07.2011/NMD-II%2017/NMD-II%2014.06.2011/1231/windows/TEMP/XlsGJB/Share/Financial%20Es?DC623E32" TargetMode="External"/><Relationship Id="rId1" Type="http://schemas.openxmlformats.org/officeDocument/2006/relationships/externalLinkPath" Target="file:///\\DC623E32\Financial%20E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OLD%20PC/002/DESKTOP%2016.03.2013/DT%2001.12.12/RESOURCE%202013-14/DT%2007.09.2011/06-08-2011/NMD%20II%2026.07.11/PD%202%2015.07.2011/NMD-II%2017/NMD-II%2014.06.2011/1231/windows/TEMP/XlsGJB/Share/Financial%20Estimat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201-04REL-Fina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201-04REL-Fin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omputer7\haribhakti%20&amp;\WINDOWS\Desktop\Balance%20sheet%202711200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1881\&#47928;&#49436;&#49688;&#48156;&#49888;\&#51473;&#51109;&#44592;&#44221;&#50689;&#44228;&#54925;\9,9&#51217;&#49688;(&#48372;&#44256;&#45236;&#50857;)\&#48372;&#44256;&#49436;&#50857;\Book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EKA&#44608;&#50689;&#46160;\C\9624\&#49324;&#50629;&#52628;&#5122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juupmoo\goo\&#46020;&#51109;&#53685;&#54633;\&#48513;&#51228;&#51452;&#46020;&#47732;&#48324;&#49328;&#52636;&#44540;&#4414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juupmoo\goo\&#46020;&#51109;&#53685;&#54633;\&#49464;&#51652;&#49444;&#50672;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juupmoo\goo\&#46020;&#51109;&#53685;&#54633;\&#49464;&#51652;&#49444;&#50672;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juupmoo\goo\&#46020;&#51109;&#53685;&#54633;\&#54620;&#51204;&#51228;&#52636;1&#5226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Jayesh%20Chauhan/Jayesh/Working%20Folder/Energy/TC/TC%20FY%2008-09_291108_Mumbai.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user/Documents/D%20Drive/Puja%20Gupta/TPC%20-D%20APR%20FY%2011/Excel%20Workings/Tata%20Power-D%20APR%20FY%202010-11_MERC%20Capex%20R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H2395\c\Share\&#51068;&#48152;\&#49892;&#54665;&#50696;&#49328;&#54200;&#49457;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50857;&#50669;&#49688;&#54665;\1X563\&#44277;&#49324;&#49444;&#44228;&#49436;\MC-07&#48376;&#49324;\&#49464;&#51652;&#49444;&#50672;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Tech1\EMAIL\Performance\PERFORMANCE\ocm\Yearly_perf\OCMJAN200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06-%20MPSEB%20Tariff%2005-06/Final/15-Final%20Submission-16%20Jun%2005/02-Actual%2006/T&amp;D%20Losses/DATA/DATA4/DATA/ANNUAL/0102/ANN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paavanb68\Documents\Paavan\C.G\CSPTCL\FY%2015%20Filing\06-%20MPSEB%20Tariff%2005-06\Final\15-Final%20Submission-16%20Jun%2005\02-Actual%2006\T&amp;D%20Losses\salil\DATA4\DATA\MONTHLY\0102\JAN\Sep\GRAPH.XLW"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51204;&#50689;&#44428;\C\WIN98\TEMP\REPORT07.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06-%20MPSEB%20Tariff%2005-06/Final/15-Final%20Submission-16%20Jun%2005/02-Actual%2006/T&amp;D%20Losses/Data/LD/DATA/DATA4/DATA/ANNUAL/0001/GEN%20LOS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06-%20MPSEB%20Tariff%2005-06/Final/15-Final%20Submission-16%20Jun%2005/02-Actual%2006/T&amp;D%20Losses/salil/ca9596onwards%20X.xls"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RecoveredExternalLink2"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RecoveredExternalLink8"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H:\Performance\PERFORMANCE\ocm\Yearly_perf\OCMJAN2000.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06-%20MPSEB%20Tariff%2005-06/Final/15-Final%20Submission-16%20Jun%2005/02-Actual%2006/T&amp;D%20Losses/Data/DATA4/DATA/Generation/AFIVE/YEARLY/GEN,PLF&amp;FACTOR/Performance%20Section%20B/Performance%20of%20MPSEB%20Stations.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Users\paavanb68\Documents\Paavan\C.G\CSPTCL\FY%2015%20Filing\06-%20MPSEB%20Tariff%2005-06\Final\15-Final%20Submission-16%20Jun%2005\02-Actual%2006\T&amp;D%20Losses\DATA\DATA4\DATA\ANNUAL\0001\Load%20&amp;%20Thermal%20LU%20&amp;%20MW.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A:\&#50857;&#50669;&#49688;&#54665;\1X563\&#44277;&#49324;&#49444;&#44228;&#49436;\MC-07&#48376;&#49324;\&#54620;&#51204;&#51228;&#52636;1&#52264;.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CSERC/06-%20MPSEB%20Tariff%2005-06/Final/15-Final%20Submission-16%20Jun%2005/02-Actual%2006/T&amp;D%20Losses/DATA/DATA4/DATA/ANNUAL/0001/Load%20&amp;%20Thermal%20LU%20&amp;%20M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YDDATA/&#44208;&#49328;979/HDLAN/MAIL/08&#49324;&#51109;&#45800;.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H:\WIN98\TEMP\REPORT07.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CSERC/06-%20MPSEB%20Tariff%2005-06/Final/15-Final%20Submission-16%20Jun%2005/02-Actual%2006/T&amp;D%20Losses/salil/DATA4/DATA/MONTHLY/0102/JAN/Sep/GRAPH.XLW"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CSERC/06-%20MPSEB%20Tariff%2005-06/Final/15-Final%20Submission-16%20Jun%2005/02-Actual%2006/T&amp;D%20Losses/Data/DATA4/DATA/Generation/AFIVE/YEARLY/GEN,PLF&amp;FACTOR/Performance%20Section%20B/Performance%20of%20MPSEB%20Stations.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fid\Share\DFID%20From%20EISPMP\Transfer%20Scheme\Gen%20Plan%2024%20jan%202003%20final1.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50857;&#50669;&#49688;&#54665;\1X563\&#44277;&#49324;&#49444;&#44228;&#49436;\MC-07&#48376;&#49324;\&#48513;&#51228;&#51452;&#46020;&#47732;&#48324;&#49328;&#52636;&#44540;&#44144;.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ABPS%20BACKUP/Projects/PSPCL%20APR%20II/Workings/FINAL%20MODEL/ABPS%20BACKUP/Projects/PSPCL%20APR%20II/Workings/Documents%20and%20Settings/Administrator/My%20Documents/Downloads/PC%20Office/Report/Report_20100318.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ABPS%20BACKUP/Projects/PSPCL%20APR%20II/Workings/FINAL%20MODEL/ABPS%20BACKUP/Projects/PSPCL%20APR%20II/Workings/Documents%20and%20Settings/Administrator/My%20Documents/Downloads/PC%20Office/Report/Report_20080809.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omp10\c\WINDOWS\Desktop\Latest%20revised%20Cost%20Estimates%20for%20Substation.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ABPS%20BACKUP/Projects/PSPCL%20APR%20II/Workings/FINAL%20MODEL/ABPS%20BACKUP/Projects/PSPCL%20APR%20II/Workings/Documents%20and%20Settings/Administrator/My%20Documents/Downloads/PC%20Office/Report/Report_20080614.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NS\Plant\&#47785;&#50857;&#44053;\MANUAL\calculation\DESIGN5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INDOWS/TEMP/XlsGJB/Share/Financial%20Estimates.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SLC/KDS/NSSS/1000MW/CEDM/CEDM.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GRID%20Energy/Work/MSPGCL%20True%20Up%20Fy%202010-11/Earlier%20Orders/EXCEL%20MODELS%20FINAL/PwC_MSPGCL_20.12.2011.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Assignments\MERC\MYT%20Regulations%202019\Working\Transmission\O&amp;M%20Expenses%20for%20Transmission_postpubl_kp_v2.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Official/MIS%20FY05-06/12-Mar%2006/Official/MIS%20FY05-06/09-Dec%2005/Quarterwise%20Details%20-%20Q3(tax)%20FY%2006_190106(fin%20ch).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H1164\d\&#51473;&#51109;&#44592;&#44221;&#50689;&#44228;&#54925;\9,9&#51217;&#49688;(&#48372;&#44256;&#45236;&#50857;)\&#48372;&#44256;&#49436;&#50857;\Book2.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Mserver\btps%20temp%20data\EFFY\Effy-Cost%20DD\Yearly%20data.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Users\paavanb68\Documents\Paavan\C.G\CSPTCL\FY%2015%20Filing\06-%20MPSEB%20Tariff%2005-06\Final\15-Final%20Submission-16%20Jun%2005\02-Actual%2006\T&amp;D%20Losses\DATA4\DATA\ANNUAL\9900\YRDATA\CSD.XLW"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snehal/ABP%20FY07/Qtrwise%20Versions/ABP%20250606/Quarterwise%20details%20FY07%2025-06-06.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D:\Users\paavanb68\Documents\Paavan\C.G\CSPTCL\FY%2015%20Filing\Model_Business%20Plan_Nov28_2012_v16_capex.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44204;&#51201;_TEST_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Purushotham/Local%20Settings/Temporary%20Internet%20Files/OLK33/XlsGJB/Share/Financial%20Estimate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47106\&#44592;&#44228;BM&#51221;&#47532;\lee\project\&#54644;&#50808;\southpars\BMFILE\Lnx$LPS-A301(Excel)_.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47106\&#44592;&#44228;BM&#51221;&#47532;\lee\project\&#54644;&#50808;\southpars\BMFILE\CODE5090.XLS" TargetMode="External"/></Relationships>
</file>

<file path=xl/externalLinks/_rels/externalLink62.xml.rels><?xml version="1.0" encoding="UTF-8" standalone="yes"?>
<Relationships xmlns="http://schemas.openxmlformats.org/package/2006/relationships"><Relationship Id="rId2" Type="http://schemas.microsoft.com/office/2019/04/relationships/externalLinkLongPath" Target="file:///D:\Users\paavanb68\Documents\Paavan\C.G\CSPTCL\FY%2015%20Filing\Documents%20and%20Settings\Manjeet%20Singh\Local%20Settings\Temp\Temporary%20Directory%201%20for%20Asset%20Disaggregation%2017.04.05%20With%20Residual%20MPSEB.zip\Raw%20TB%20Data%20&amp;%20Cap-CAU%20as%20Gen.xls?94DB89E3" TargetMode="External"/><Relationship Id="rId1" Type="http://schemas.openxmlformats.org/officeDocument/2006/relationships/externalLinkPath" Target="file:///\\94DB89E3\Raw%20TB%20Data%20&amp;%20Cap-CAU%20as%20Gen.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CSERC/Documents%20and%20Settings/Manjeet%20Singh/Local%20Settings/Temp/Temporary%20Directory%201%20for%20Asset%20Disaggregation%2017.04.05%20With%20Residual%20MPSEB.zip/Raw%20TB%20Data%20&amp;%20Cap-CAU%20as%20Gen.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Users/Administrator/Documents/KETAN/Projects/OPGC%20Petition/Workings/Users/41013461/AppData/Local/Temp/notes87944B/FERV%20Hedging%20Scenarios_VIPL%20Butibori%2021%20May2014.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WINDOWS/Desktop/Current/Oil%20Price%20Trend.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Documents%20and%20Settings/h112728/My%20Documents/ACE%20&#49688;&#54665;&#50629;&#47924;%20ACE/01%20Project/04%20Zawia%20Cond/&#50696;&#49328;&#44288;&#47532;/&#47785;&#54364;&#50696;&#49328;/&#54408;&#51032;&#49436;%20&#52392;&#48512;%20&#51088;&#47308;/&#44204;&#51201;%20&#51088;&#47308;/Doc/Proposal/U.A%20Extension/2&#52264;%20&#44204;&#51201;/PROPOSAL%20LIST-0829.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Sun\isb\UP\FINANCE\Model-PwC\Model%201901\upseb.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Mserver\Users\skedia\Documents\MSPGCL%20FY12%20ARR%20Petition%20and%20Model%2031Mar11\ARR%20formats%20SM%2029Mar1940_old.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Users/Administrator/AppData/Roaming/Microsoft/Excel/Model_ARR%20FY%202015-16%20Transmission_v3.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y%20Documents/pcbackup/Puru/ABP%20FY06/Sale%20Estimates%20Ver%209%20(U4%20On%20Line,%20New%20Cust%20&amp;%203%20Yrs%20Proj).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A:\suresh\Power\MSEB\MSEB%2001-02\Data\Dispatch%202.0.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User126\perf\Performance\PERFORMANCE\CE_FILE\Erai_dam\Water%20_balance_Dec04.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Mserver\Users\skedia\Desktop\MSPGCL%20Main%20Folder\Revised%20True-up%20&amp;%20APR\Workings\Annexure%202_revised.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IMACS/ICRA/IMaCS/W-5/BEST%20Tariff%20Filing/Data_%20for%20Mid%20term%20review%20Petition_for%20ICRA/Data%20Recieved%20by%20BEST%20(Email)%20on%2023.07.2014/True-Up%20FY%202012-13/fwdtrueupforf_y201213/unirecord_12-13q4.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51204;&#50689;&#44428;\C\WIN98\TEMP\JO9707.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Documents%20and%20Settings/vishalmakwana/Local%20Settings/Temporary%20Internet%20Files/OLK28/Shraddha/Cashflow/CB%20CASH%20FLOW-25-01%20(version%202).xls" TargetMode="External"/></Relationships>
</file>

<file path=xl/externalLinks/_rels/externalLink76.xml.rels><?xml version="1.0" encoding="UTF-8" standalone="yes"?>
<Relationships xmlns="http://schemas.openxmlformats.org/package/2006/relationships"><Relationship Id="rId2" Type="http://schemas.microsoft.com/office/2019/04/relationships/externalLinkLongPath" Target="file:///L:\Users\HP\Desktop\DT%20Folders\Payments%20to%20AP%20AE\DT%20220809\snehal\Regulatory\Disagg%20ARR%20FY06_June05\MERC%20Follow%20up_documents\Backup%20Input%20Data%20Files\Dis-Agg%20ARR%20-%20MERC%20Formats\ARR%20FY%202005-06%20170106\GTD_Capital%20Base_3%20yrs?14B45D0C" TargetMode="External"/><Relationship Id="rId1" Type="http://schemas.openxmlformats.org/officeDocument/2006/relationships/externalLinkPath" Target="file:///\\14B45D0C\GTD_Capital%20Base_3%20yr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Users/himanshu.chawla/Desktop/MSETCL_PIS/Revised%20Model%204%20July/SK%20Sir%20Mail/Final%20Sent%206.07.2013/Users/himanshu.chawla/Desktop/MSETCL_PIS/Hasnain%20Mail/201-04REL-Final.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ABPS%20BACKUP/Projects/MERC%20MYT%20Regualtions,%202019/workings/O&amp;M%20Norms/Transco%20O&amp;M%20Analysis-KP-R5-20%20JULY.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M:\Documents%20and%20Settings\TPCL\My%20Documents\pcbackup\Puru\Sales%20&amp;%20Revenue%20Reports\FY%202004-05\TarSumm%20FY05%20-%20JAN%2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nehal/Regulatory/Disagg%20ARR%20FY06_June05/MERC%20Follow%20up_documents/Backup%20Input%20Data%20Files/Dis-Agg%20ARR%20-%20MERC%20Formats/ARR%20FY%202005-06%20170106/GTD_Capital%20Base_3%20yrs_050106.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Users/nitingu/Desktop/CSPDCL/CSPDCL_FY%2019_Rev%2000_NG.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Fileserver\common%20server\Databank\1-Projects%20In%20Hand\DFID\ARR%202003-04\Arr%20Petition%202003-04\For%20Submission\ARR%20Forms%20For%20Submission.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Databank/1-Projects%20In%20Hand/DFID/ARR%202003-04/Arr%20Petition%202003-04/For%20Submission/ARR%20Forms%20For%20Submission.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H:\Pack'(A)\&#45817;&#51652;-A2.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A:\KHI.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Assignments/MERC%20-%20TPC%20-%20Tariff/Tata%20MYT%20FY%202008-10/Base%20Data/Sales/Mumbai_Merit_Order_FY08.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Documents%20and%20Settings/TPCL/My%20Documents/pcbackup/Puru/Sales%20&amp;%20Revenue%20Reports/FY%202004-05/TarSumm%20FY05%20-%20JAN%2005.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User21\shared%20doc\ARR%202.6%20REV\Performance\PERFORMANCE\ocm\Yearly_perf\OCMJAN2000.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ABPS%20BACKUP/Projects/PSPCL%20APR%20II/Workings/FINAL%20MODEL/ABPS%20BACKUP/Projects/PSPCL%20APR%20II/Workings/Documents%20and%20Settings/Administrator/My%20Documents/Downloads/PC%20Office/Report/Report_20080629.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Documents%20and%20Settings/jyotimm/Local%20Settings/Temporary%20Internet%20Files/OLK30/Open%20access%20charges%20-%20single%20sheet.xls" TargetMode="External"/></Relationships>
</file>

<file path=xl/externalLinks/_rels/externalLink9.xml.rels><?xml version="1.0" encoding="UTF-8" standalone="yes"?>
<Relationships xmlns="http://schemas.openxmlformats.org/package/2006/relationships"><Relationship Id="rId2" Type="http://schemas.microsoft.com/office/2019/04/relationships/externalLinkLongPath" Target="file:///J:\Users\HP\Desktop\DT%20Folders\Payments%20to%20AP%20AE\DT%20220809\snehal\Regulatory\Disagg%20ARR%20FY06_June05\MERC%20Follow%20up_documents\Backup%20Input%20Data%20Files\Dis-Agg%20ARR%20-%20MERC%20Formats\ARR%20FY%202005-06%20170106\GTD_Capital%20Base_3%20yrs?D65A88E3" TargetMode="External"/><Relationship Id="rId1" Type="http://schemas.openxmlformats.org/officeDocument/2006/relationships/externalLinkPath" Target="file:///\\D65A88E3\GTD_Capital%20Base_3%20yr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My%20Documents/My%20Data/&#22283;&#20839;&#35211;&#32318;/Young_do/&#54788;&#44277;&#49324;&#49444;&#44228;&#49436;.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Shed7-p4\shared\Swati\cseb%20accounts\purchase%20of%20power\central%20power%20sector.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Fileserver\common%20server\Documents%20and%20Settings\anurag\My%20Documents\petitions\Petition%20for%20trans%20ARR.doc\Databank\1-Projects%20In%20Hand\DFID\ARR%202003-04\Arr%20Petition%202003-04\For%20Submission\ARR%20Forms%20For%20Submission.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Documents%20and%20Settings/anurag/My%20Documents/petitions/Petition%20for%20trans%20ARR.doc/Databank/1-Projects%20In%20Hand/DFID/ARR%202003-04/Arr%20Petition%202003-04/For%20Submission/ARR%20Forms%20For%20Submission.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My%20Documents/pcbackup/Puru/Fuel%20Adjustment%20Charges%20(FAC)/FAC%20FY07/Sept-06/FAC_Sept%2006.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Assignments/TATA/MYT%20FY%202011-2015/Base%20Data/Incentive/REL_BEST%20Bill%20September%2008.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Documents%20and%20Settings/Kapse/Local%20Settings/Temp/Official/MIS%20FY05-06/09-Dec%2005/Quarterwise%20Details%20-%20Q3(tax)%20FY%2006_190106(fin%20ch).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A:\&#50857;&#50669;&#49688;&#54665;\1X563\&#44277;&#49324;&#49444;&#44228;&#49436;\MC-07&#48376;&#49324;\&#49464;&#51652;&#49444;&#50672;2.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IMACS/ICRA/IMaCS/W-5/BEST%20Tariff%20Filing/Data_%20for%20Mid%20term%20review%20Petition_for%20ICRA/Data%20Recieved%20by%20BEST%20(Email)%20on%2023.07.2014/True-Up%20FY%202012-13/fwdtrueupforf_y201213/Balance_sheet_Accounts_12-13.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Fileserver\common%20server\Sameer's%20folder\MSEB\Tariff%20Filing%202003-04\Outputs\Models\Working%20Models\old\Dispatch%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7 사업추정(WEKI)"/>
      <sheetName val="97_사업추정(WEKI)"/>
    </sheetNames>
    <sheetDataSet>
      <sheetData sheetId="0" refreshError="1"/>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 02 Est.at Existing Tariff"/>
      <sheetName val="Financial Estimates"/>
      <sheetName val="Sheet1"/>
      <sheetName val="Sheet2"/>
      <sheetName val="Sheet3"/>
    </sheetNames>
    <sheetDataSet>
      <sheetData sheetId="0" refreshError="1"/>
      <sheetData sheetId="1" refreshError="1">
        <row r="8">
          <cell r="A8" t="str">
            <v>AI.</v>
          </cell>
          <cell r="B8" t="str">
            <v>ENERGY DISTRIBUTED(MUS)</v>
          </cell>
        </row>
        <row r="10">
          <cell r="A10">
            <v>1</v>
          </cell>
          <cell r="B10" t="str">
            <v>SALES TO TPC'S CONSUMERS</v>
          </cell>
        </row>
        <row r="11">
          <cell r="B11" t="str">
            <v>TEXTILES</v>
          </cell>
        </row>
        <row r="12">
          <cell r="B12" t="str">
            <v>HT INDUSTRIES</v>
          </cell>
        </row>
        <row r="13">
          <cell r="B13" t="str">
            <v>HT COMMERCIAL</v>
          </cell>
        </row>
        <row r="14">
          <cell r="B14" t="str">
            <v>LT INDUSTRIES (SINGLE PART) (incl.Resi.)</v>
          </cell>
        </row>
        <row r="15">
          <cell r="B15" t="str">
            <v>LT INDUSTRIES (TWO PART)</v>
          </cell>
        </row>
        <row r="16">
          <cell r="B16" t="str">
            <v>LT COMMERCIAL (SINGLE PART)</v>
          </cell>
        </row>
        <row r="17">
          <cell r="B17" t="str">
            <v>LT COMMERCIAL (TWO PART)</v>
          </cell>
        </row>
        <row r="18">
          <cell r="B18" t="str">
            <v>RESIDENTIAL</v>
          </cell>
        </row>
        <row r="19">
          <cell r="B19" t="str">
            <v>RAILWAYS(INCL.INTERCHANGE)</v>
          </cell>
        </row>
        <row r="21">
          <cell r="B21" t="str">
            <v>TOTAL (DIRECT CONSUMERS)</v>
          </cell>
        </row>
        <row r="23">
          <cell r="B23" t="str">
            <v>BEST</v>
          </cell>
        </row>
        <row r="24">
          <cell r="B24" t="str">
            <v>BSES (22 KV/ 33 KV SUPPLY)</v>
          </cell>
        </row>
        <row r="25">
          <cell r="B25" t="str">
            <v>BSES (220 KV INTERCONNECTION)</v>
          </cell>
        </row>
        <row r="26">
          <cell r="B26" t="str">
            <v>BSES (TOTAL)</v>
          </cell>
        </row>
        <row r="28">
          <cell r="B28" t="str">
            <v>BEST &amp; BSES- TOTAL</v>
          </cell>
        </row>
        <row r="30">
          <cell r="B30" t="str">
            <v>TOTAL SALES</v>
          </cell>
        </row>
        <row r="33">
          <cell r="A33">
            <v>2</v>
          </cell>
          <cell r="B33" t="str">
            <v>ENERGY ASSISTANCE TO MSEB</v>
          </cell>
        </row>
        <row r="35">
          <cell r="A35">
            <v>3</v>
          </cell>
          <cell r="B35" t="str">
            <v>SALES TO OTHER STATE UTILITIES</v>
          </cell>
        </row>
        <row r="37">
          <cell r="A37">
            <v>4</v>
          </cell>
          <cell r="B37" t="str">
            <v>TOTAL SALES INCLUDING MSEB AND OTHER STATES</v>
          </cell>
        </row>
        <row r="39">
          <cell r="A39">
            <v>5</v>
          </cell>
          <cell r="B39" t="str">
            <v>22 KV WHEELING FOR MSEB</v>
          </cell>
        </row>
        <row r="41">
          <cell r="A41">
            <v>6</v>
          </cell>
          <cell r="B41" t="str">
            <v xml:space="preserve">TOTAL ENERGY DISTRIBUTED </v>
          </cell>
        </row>
        <row r="43">
          <cell r="A43" t="str">
            <v>AII.</v>
          </cell>
          <cell r="B43" t="str">
            <v>RKVAH (MUs)</v>
          </cell>
        </row>
        <row r="45">
          <cell r="B45" t="str">
            <v>TEXTILES</v>
          </cell>
        </row>
        <row r="46">
          <cell r="B46" t="str">
            <v>HT INDUSTRIES</v>
          </cell>
        </row>
        <row r="47">
          <cell r="B47" t="str">
            <v>HT COMMERCIAL</v>
          </cell>
        </row>
        <row r="48">
          <cell r="B48" t="str">
            <v>LT INDUSTRIES (TWO PART TARIFF)</v>
          </cell>
        </row>
        <row r="49">
          <cell r="B49" t="str">
            <v>LT COMMERCIAL (TWO PART TARIFF)</v>
          </cell>
        </row>
        <row r="50">
          <cell r="B50" t="str">
            <v>RAILWAYS(INCL.INTERCHANGE)</v>
          </cell>
        </row>
        <row r="52">
          <cell r="B52" t="str">
            <v>TOTAL TEX./IND./COMM/RLYS</v>
          </cell>
        </row>
        <row r="54">
          <cell r="B54" t="str">
            <v>BEST</v>
          </cell>
        </row>
        <row r="55">
          <cell r="B55" t="str">
            <v>BSES (22 KV)</v>
          </cell>
        </row>
        <row r="56">
          <cell r="B56" t="str">
            <v>BSES (220 KV)</v>
          </cell>
        </row>
        <row r="58">
          <cell r="B58" t="str">
            <v>TOTAL</v>
          </cell>
        </row>
        <row r="61">
          <cell r="A61" t="str">
            <v>AII.</v>
          </cell>
          <cell r="B61" t="str">
            <v>MAXIMUM DEMAND (MVA)</v>
          </cell>
        </row>
        <row r="63">
          <cell r="B63" t="str">
            <v>TEXTILES</v>
          </cell>
        </row>
        <row r="64">
          <cell r="B64" t="str">
            <v>HT INDUSTRIES</v>
          </cell>
        </row>
        <row r="65">
          <cell r="B65" t="str">
            <v>HT COMMERCIAL</v>
          </cell>
        </row>
        <row r="66">
          <cell r="B66" t="str">
            <v>LT INDUSTRIES (TWO PART TARIFF)</v>
          </cell>
        </row>
        <row r="67">
          <cell r="B67" t="str">
            <v>LT COMMERCIAL (TWO PART TARIFF)</v>
          </cell>
        </row>
        <row r="68">
          <cell r="B68" t="str">
            <v>RAILWAYS(INCL.INTERCHANGE)</v>
          </cell>
        </row>
        <row r="70">
          <cell r="B70" t="str">
            <v>TOTAL (DIRECT CONSUMERS)</v>
          </cell>
        </row>
        <row r="72">
          <cell r="B72" t="str">
            <v>BEST</v>
          </cell>
        </row>
        <row r="73">
          <cell r="B73" t="str">
            <v>BSES (22 KV/ 33 KV SUPPLY)</v>
          </cell>
        </row>
        <row r="75">
          <cell r="B75" t="str">
            <v>TOTAL</v>
          </cell>
        </row>
        <row r="78">
          <cell r="A78" t="str">
            <v>B.</v>
          </cell>
          <cell r="B78" t="str">
            <v>TPC GENERATION(MUS)</v>
          </cell>
        </row>
        <row r="80">
          <cell r="A80">
            <v>1</v>
          </cell>
          <cell r="B80" t="str">
            <v>HYDRO</v>
          </cell>
        </row>
        <row r="81">
          <cell r="B81" t="str">
            <v>FROM NATURAL SOURCE OF WATER</v>
          </cell>
        </row>
        <row r="82">
          <cell r="B82" t="str">
            <v>PEAKING ENERGY FROM PUMPED WATER</v>
          </cell>
        </row>
        <row r="83">
          <cell r="B83" t="str">
            <v>TOTAL</v>
          </cell>
        </row>
        <row r="85">
          <cell r="A85">
            <v>2</v>
          </cell>
          <cell r="B85" t="str">
            <v>THERMAL</v>
          </cell>
        </row>
        <row r="86">
          <cell r="B86" t="str">
            <v>UNIT NO.4</v>
          </cell>
        </row>
        <row r="87">
          <cell r="B87" t="str">
            <v>UNIT NO.5</v>
          </cell>
        </row>
        <row r="88">
          <cell r="B88" t="str">
            <v>UNIT NO.6</v>
          </cell>
        </row>
        <row r="89">
          <cell r="B89" t="str">
            <v>UNIT NOS.7 AS GT</v>
          </cell>
        </row>
        <row r="90">
          <cell r="B90" t="str">
            <v>UNIT NO.7</v>
          </cell>
        </row>
        <row r="92">
          <cell r="B92" t="str">
            <v>TOTAL THERMAL GENERATION</v>
          </cell>
        </row>
        <row r="95">
          <cell r="A95">
            <v>4</v>
          </cell>
          <cell r="B95" t="str">
            <v>TOTAL TPC GENERATION</v>
          </cell>
        </row>
        <row r="97">
          <cell r="A97">
            <v>5</v>
          </cell>
          <cell r="B97" t="str">
            <v>AUXILIARY CONSUMPTION</v>
          </cell>
        </row>
        <row r="98">
          <cell r="A98">
            <v>6</v>
          </cell>
          <cell r="B98" t="str">
            <v>ENERGY REQ.FOR PUMPING</v>
          </cell>
        </row>
        <row r="100">
          <cell r="A100">
            <v>6</v>
          </cell>
          <cell r="B100" t="str">
            <v>NET TPC GENERATION</v>
          </cell>
        </row>
        <row r="102">
          <cell r="A102" t="str">
            <v>C.</v>
          </cell>
          <cell r="B102" t="str">
            <v>PURCHASES FROM MSEB(MUS)</v>
          </cell>
        </row>
        <row r="104">
          <cell r="A104">
            <v>1</v>
          </cell>
          <cell r="B104" t="str">
            <v xml:space="preserve">T&amp;D LOSSES </v>
          </cell>
        </row>
        <row r="105">
          <cell r="A105">
            <v>2</v>
          </cell>
          <cell r="B105" t="str">
            <v>EX BUS REQUIREMENT</v>
          </cell>
        </row>
        <row r="106">
          <cell r="A106">
            <v>3</v>
          </cell>
          <cell r="B106" t="str">
            <v>GROSS PURCHASE</v>
          </cell>
        </row>
        <row r="107">
          <cell r="A107">
            <v>4</v>
          </cell>
          <cell r="B107" t="str">
            <v>22 KV WHEELING FOR MSEB</v>
          </cell>
        </row>
        <row r="108">
          <cell r="A108">
            <v>5</v>
          </cell>
          <cell r="B108" t="str">
            <v>NET PURCHASE</v>
          </cell>
        </row>
      </sheetData>
      <sheetData sheetId="2" refreshError="1"/>
      <sheetData sheetId="3" refreshError="1"/>
      <sheetData sheetId="4"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LY -99-00"/>
      <sheetName val="Hydro Data"/>
      <sheetName val="HLY0001"/>
      <sheetName val="SUMMERY"/>
      <sheetName val="mnthly-chrt"/>
      <sheetName val="purchase"/>
      <sheetName val="dpc cost"/>
      <sheetName val="Plant Availability"/>
      <sheetName val="MOD-PROJ"/>
      <sheetName val="Apr-99"/>
      <sheetName val="May-99"/>
      <sheetName val="Jun-99"/>
      <sheetName val="July-99"/>
      <sheetName val="Aug-99"/>
      <sheetName val="Sept-99"/>
      <sheetName val="Oct-99"/>
      <sheetName val="Nov-99"/>
      <sheetName val="Dec-99"/>
      <sheetName val="Jan-00"/>
      <sheetName val="Feb-00"/>
      <sheetName val="Mar-00"/>
      <sheetName val="A 3.7"/>
      <sheetName val="HLY_-99-00"/>
      <sheetName val="Hydro_Data"/>
      <sheetName val="dpc_cost"/>
      <sheetName val="Plant_Availability"/>
    </sheetNames>
    <sheetDataSet>
      <sheetData sheetId="0" refreshError="1"/>
      <sheetData sheetId="1" refreshError="1"/>
      <sheetData sheetId="2" refreshError="1"/>
      <sheetData sheetId="3" refreshError="1">
        <row r="1">
          <cell r="P1">
            <v>0.72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ms for employee Addition"/>
      <sheetName val="Additional employees n Securt"/>
      <sheetName val="Substations increments"/>
      <sheetName val="F17"/>
      <sheetName val="Add. Employee cost_New Install"/>
      <sheetName val="Revised projections for Empl Ex"/>
      <sheetName val="Employee exp from Sep -12 Salar"/>
      <sheetName val="employee numbers actuals"/>
      <sheetName val="Retirments - H2"/>
      <sheetName val="New recruitment Status"/>
      <sheetName val="New employee projec"/>
      <sheetName val="New recruits"/>
      <sheetName val="installed cap PSEB 31.3.11"/>
      <sheetName val="Employee exp from Sep -12 Sal2"/>
    </sheetNames>
    <sheetDataSet>
      <sheetData sheetId="0"/>
      <sheetData sheetId="1"/>
      <sheetData sheetId="2"/>
      <sheetData sheetId="3"/>
      <sheetData sheetId="4"/>
      <sheetData sheetId="5"/>
      <sheetData sheetId="6"/>
      <sheetData sheetId="7"/>
      <sheetData sheetId="8"/>
      <sheetData sheetId="9"/>
      <sheetData sheetId="10"/>
      <sheetData sheetId="11">
        <row r="3">
          <cell r="B3" t="str">
            <v>AE (Electrical)</v>
          </cell>
        </row>
      </sheetData>
      <sheetData sheetId="12">
        <row r="32">
          <cell r="E32">
            <v>13385.35</v>
          </cell>
        </row>
      </sheetData>
      <sheetData sheetId="13"/>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BDVMPL"/>
      <sheetName val="표지 및 목차"/>
      <sheetName val="목표분석및개선책입안서"/>
      <sheetName val="목표할당표"/>
      <sheetName val="과제분석표 챠트 DATA"/>
      <sheetName val="HIRGIGO매출"/>
      <sheetName val="HIRGIGO매출원가"/>
      <sheetName val="HIRGIGO 기성"/>
      <sheetName val="과제분석서_원가절감"/>
      <sheetName val="품질손실비용"/>
      <sheetName val="시책도출매트릭스"/>
      <sheetName val="부장map card"/>
      <sheetName val="상하MAP조정표"/>
      <sheetName val="관리항목일람표"/>
      <sheetName val="목표종합전개표"/>
      <sheetName val="시책전개표(1)"/>
      <sheetName val="년도map실시계획서(B4)"/>
      <sheetName val="년도map실시계획서(A4)"/>
      <sheetName val="월map실시계획서(B4)"/>
      <sheetName val="월map실시계획서(A4)"/>
      <sheetName val="map실적관리표"/>
      <sheetName val="월map실적보고서"/>
      <sheetName val="중점실천계획총괄표"/>
      <sheetName val="중점실천계획(원가절감)"/>
      <sheetName val="중점실천계획(기타)"/>
      <sheetName val="중점실천계획진도보고서"/>
      <sheetName val="pjt 별map계획서"/>
      <sheetName val="산업담당 A"/>
      <sheetName val="발전담당 B"/>
      <sheetName val="A+B"/>
      <sheetName val="수금종합1"/>
      <sheetName val="PJT매출계획"/>
      <sheetName val="PJT기성계획"/>
      <sheetName val="부서별 원가절감 계획"/>
      <sheetName val="매출2안"/>
      <sheetName val="기성2안"/>
      <sheetName val="map전매출"/>
      <sheetName val="표지_및_목차"/>
      <sheetName val="과제분석표_챠트_DATA"/>
      <sheetName val="HIRGIGO_기성"/>
      <sheetName val="부장map_card"/>
      <sheetName val="pjt_별map계획서"/>
      <sheetName val="산업담당_A"/>
      <sheetName val="발전담당_B"/>
      <sheetName val="부서별_원가절감_계획"/>
      <sheetName val="Financial_Estimates"/>
      <sheetName val="pricespsa"/>
      <sheetName val="per unit"/>
      <sheetName val="Sheet6"/>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1"/>
      <sheetName val="BEST_17102006"/>
      <sheetName val="Cash at Bank"/>
    </sheetNames>
    <sheetDataSet>
      <sheetData sheetId="0"/>
      <sheetData sheetId="1"/>
      <sheetData sheetId="2"/>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s>
    <sheetDataSet>
      <sheetData sheetId="0" refreshError="1">
        <row r="1">
          <cell r="B1" t="str">
            <v>SUPPORT No.</v>
          </cell>
          <cell r="C1" t="str">
            <v>No.</v>
          </cell>
        </row>
        <row r="2">
          <cell r="B2" t="str">
            <v>CSH-5102-03</v>
          </cell>
          <cell r="C2" t="str">
            <v>001</v>
          </cell>
        </row>
        <row r="3">
          <cell r="B3" t="str">
            <v>CSH-5102-08</v>
          </cell>
          <cell r="C3" t="str">
            <v>002</v>
          </cell>
        </row>
        <row r="4">
          <cell r="B4" t="str">
            <v>CSH-5102-09</v>
          </cell>
          <cell r="C4" t="str">
            <v>003</v>
          </cell>
        </row>
        <row r="5">
          <cell r="B5" t="str">
            <v>CSH-5102-10</v>
          </cell>
          <cell r="C5" t="str">
            <v>004</v>
          </cell>
        </row>
        <row r="6">
          <cell r="B6" t="str">
            <v>CSH-5104-01</v>
          </cell>
          <cell r="C6" t="str">
            <v>005</v>
          </cell>
        </row>
        <row r="7">
          <cell r="B7" t="str">
            <v>CSH-5104-02</v>
          </cell>
          <cell r="C7" t="str">
            <v>006</v>
          </cell>
        </row>
        <row r="8">
          <cell r="B8" t="str">
            <v>CSH-5104-03</v>
          </cell>
          <cell r="C8" t="str">
            <v>007</v>
          </cell>
        </row>
        <row r="9">
          <cell r="B9" t="str">
            <v>CSH-5104-05</v>
          </cell>
          <cell r="C9" t="str">
            <v>008</v>
          </cell>
        </row>
        <row r="10">
          <cell r="B10" t="str">
            <v>CSH-5104-06</v>
          </cell>
          <cell r="C10" t="str">
            <v>009</v>
          </cell>
        </row>
        <row r="11">
          <cell r="B11" t="str">
            <v>CSH-5104-07</v>
          </cell>
          <cell r="C11" t="str">
            <v>010</v>
          </cell>
        </row>
        <row r="12">
          <cell r="B12" t="str">
            <v>CSH-5104-08</v>
          </cell>
          <cell r="C12" t="str">
            <v>011</v>
          </cell>
        </row>
        <row r="13">
          <cell r="B13" t="str">
            <v>CSH-5105-01</v>
          </cell>
          <cell r="C13" t="str">
            <v>012</v>
          </cell>
        </row>
        <row r="14">
          <cell r="B14" t="str">
            <v>CSH-5105-02</v>
          </cell>
          <cell r="C14" t="str">
            <v>013</v>
          </cell>
        </row>
        <row r="15">
          <cell r="B15" t="str">
            <v>CSH-5110-01</v>
          </cell>
          <cell r="C15" t="str">
            <v>014</v>
          </cell>
        </row>
        <row r="16">
          <cell r="B16" t="str">
            <v>CSH-5110-02</v>
          </cell>
          <cell r="C16" t="str">
            <v>015</v>
          </cell>
        </row>
        <row r="17">
          <cell r="B17" t="str">
            <v>CSH-5110-03</v>
          </cell>
          <cell r="C17" t="str">
            <v>016</v>
          </cell>
        </row>
        <row r="18">
          <cell r="B18" t="str">
            <v>CSH-5110-04</v>
          </cell>
          <cell r="C18" t="str">
            <v>017</v>
          </cell>
        </row>
        <row r="19">
          <cell r="B19" t="str">
            <v>CSH-5110-05</v>
          </cell>
          <cell r="C19" t="str">
            <v>018</v>
          </cell>
        </row>
        <row r="20">
          <cell r="B20" t="str">
            <v>CSH-5110-06</v>
          </cell>
          <cell r="C20" t="str">
            <v>019</v>
          </cell>
        </row>
        <row r="21">
          <cell r="B21" t="str">
            <v>CSH-5110-07</v>
          </cell>
          <cell r="C21" t="str">
            <v>020</v>
          </cell>
        </row>
        <row r="22">
          <cell r="B22" t="str">
            <v>CSH-5110-08</v>
          </cell>
          <cell r="C22" t="str">
            <v>021</v>
          </cell>
        </row>
        <row r="23">
          <cell r="B23" t="str">
            <v>CSH-5110-09</v>
          </cell>
          <cell r="C23" t="str">
            <v>022</v>
          </cell>
        </row>
        <row r="24">
          <cell r="B24" t="str">
            <v>CSH-5110-10</v>
          </cell>
          <cell r="C24" t="str">
            <v>023</v>
          </cell>
        </row>
        <row r="25">
          <cell r="B25" t="str">
            <v>CSH-5110-11</v>
          </cell>
          <cell r="C25" t="str">
            <v>024</v>
          </cell>
        </row>
        <row r="26">
          <cell r="B26" t="str">
            <v>CSH-5110-12</v>
          </cell>
          <cell r="C26" t="str">
            <v>025</v>
          </cell>
        </row>
        <row r="27">
          <cell r="B27" t="str">
            <v>CSH-5110-13</v>
          </cell>
          <cell r="C27" t="str">
            <v>026</v>
          </cell>
        </row>
        <row r="28">
          <cell r="B28" t="str">
            <v>CSH-5110-14</v>
          </cell>
          <cell r="C28" t="str">
            <v>027</v>
          </cell>
        </row>
        <row r="29">
          <cell r="B29" t="str">
            <v>CSH-5110-15</v>
          </cell>
          <cell r="C29" t="str">
            <v>028</v>
          </cell>
        </row>
        <row r="30">
          <cell r="B30" t="str">
            <v>CSH-5110-16</v>
          </cell>
          <cell r="C30" t="str">
            <v>029</v>
          </cell>
        </row>
        <row r="31">
          <cell r="B31" t="str">
            <v>CSH-5110-17</v>
          </cell>
          <cell r="C31" t="str">
            <v>030</v>
          </cell>
        </row>
        <row r="32">
          <cell r="B32" t="str">
            <v>CSH-5110-18</v>
          </cell>
          <cell r="C32" t="str">
            <v>031</v>
          </cell>
        </row>
        <row r="33">
          <cell r="B33" t="str">
            <v>CSH-5110-19</v>
          </cell>
          <cell r="C33" t="str">
            <v>032</v>
          </cell>
        </row>
        <row r="34">
          <cell r="B34" t="str">
            <v>CSH-5110-20</v>
          </cell>
          <cell r="C34" t="str">
            <v>033</v>
          </cell>
        </row>
        <row r="35">
          <cell r="B35" t="str">
            <v>CSH-5110-21</v>
          </cell>
          <cell r="C35" t="str">
            <v>034</v>
          </cell>
        </row>
        <row r="36">
          <cell r="B36" t="str">
            <v>CSH-5110-22</v>
          </cell>
          <cell r="C36" t="str">
            <v>035</v>
          </cell>
        </row>
        <row r="37">
          <cell r="B37" t="str">
            <v>CSH-5110-23</v>
          </cell>
          <cell r="C37" t="str">
            <v>036</v>
          </cell>
        </row>
        <row r="38">
          <cell r="B38" t="str">
            <v>CSH-5111-01</v>
          </cell>
          <cell r="C38" t="str">
            <v>037</v>
          </cell>
        </row>
        <row r="39">
          <cell r="B39" t="str">
            <v>CSH-5111-02</v>
          </cell>
          <cell r="C39" t="str">
            <v>038</v>
          </cell>
        </row>
        <row r="40">
          <cell r="B40" t="str">
            <v>CSH-5111-03</v>
          </cell>
          <cell r="C40" t="str">
            <v>039</v>
          </cell>
        </row>
        <row r="41">
          <cell r="B41" t="str">
            <v>CSH-5111-04</v>
          </cell>
          <cell r="C41" t="str">
            <v>040</v>
          </cell>
        </row>
        <row r="42">
          <cell r="B42" t="str">
            <v>CSH-5111-05</v>
          </cell>
          <cell r="C42" t="str">
            <v>041</v>
          </cell>
        </row>
        <row r="43">
          <cell r="B43" t="str">
            <v>CSH-5111-06</v>
          </cell>
          <cell r="C43" t="str">
            <v>042</v>
          </cell>
        </row>
        <row r="44">
          <cell r="B44" t="str">
            <v>CSH-5111-07</v>
          </cell>
          <cell r="C44" t="str">
            <v>043</v>
          </cell>
        </row>
        <row r="45">
          <cell r="B45" t="str">
            <v>CSH-5111-08</v>
          </cell>
          <cell r="C45" t="str">
            <v>044</v>
          </cell>
        </row>
        <row r="46">
          <cell r="B46" t="str">
            <v>CSH-5112-01</v>
          </cell>
          <cell r="C46" t="str">
            <v>045</v>
          </cell>
        </row>
        <row r="47">
          <cell r="B47" t="str">
            <v>CSH-5112-02</v>
          </cell>
          <cell r="C47" t="str">
            <v>046</v>
          </cell>
        </row>
        <row r="48">
          <cell r="B48" t="str">
            <v>CSH-5112-03</v>
          </cell>
          <cell r="C48" t="str">
            <v>047</v>
          </cell>
        </row>
        <row r="49">
          <cell r="B49" t="str">
            <v>CSH-5127-01</v>
          </cell>
          <cell r="C49" t="str">
            <v>048</v>
          </cell>
        </row>
        <row r="50">
          <cell r="B50" t="str">
            <v>CSH-5135-01</v>
          </cell>
          <cell r="C50" t="str">
            <v>049</v>
          </cell>
        </row>
        <row r="51">
          <cell r="B51" t="str">
            <v>VSH-5102-25</v>
          </cell>
          <cell r="C51" t="str">
            <v>050</v>
          </cell>
        </row>
        <row r="52">
          <cell r="B52" t="str">
            <v>VSH-5102-39</v>
          </cell>
          <cell r="C52" t="str">
            <v>051</v>
          </cell>
        </row>
        <row r="53">
          <cell r="B53" t="str">
            <v>VSH-5103-01</v>
          </cell>
          <cell r="C53" t="str">
            <v>052</v>
          </cell>
        </row>
        <row r="54">
          <cell r="B54" t="str">
            <v>VSH-5103-02</v>
          </cell>
          <cell r="C54" t="str">
            <v>053</v>
          </cell>
        </row>
        <row r="55">
          <cell r="B55" t="str">
            <v>VSH-5103-03</v>
          </cell>
          <cell r="C55" t="str">
            <v>054</v>
          </cell>
        </row>
        <row r="56">
          <cell r="B56" t="str">
            <v>VSH-5103-04</v>
          </cell>
          <cell r="C56" t="str">
            <v>055</v>
          </cell>
        </row>
        <row r="57">
          <cell r="B57" t="str">
            <v>VSH-5103-05</v>
          </cell>
          <cell r="C57" t="str">
            <v>056</v>
          </cell>
        </row>
        <row r="58">
          <cell r="B58" t="str">
            <v>VSH-5103-06</v>
          </cell>
          <cell r="C58" t="str">
            <v>057</v>
          </cell>
        </row>
        <row r="59">
          <cell r="B59" t="str">
            <v>VSH-5103-07</v>
          </cell>
          <cell r="C59" t="str">
            <v>058</v>
          </cell>
        </row>
        <row r="60">
          <cell r="B60" t="str">
            <v>VSH-5103-08</v>
          </cell>
          <cell r="C60" t="str">
            <v>059</v>
          </cell>
        </row>
        <row r="61">
          <cell r="B61" t="str">
            <v>VSH-5103-09</v>
          </cell>
          <cell r="C61" t="str">
            <v>060</v>
          </cell>
        </row>
        <row r="62">
          <cell r="B62" t="str">
            <v>VSH-5103-10</v>
          </cell>
          <cell r="C62" t="str">
            <v>061</v>
          </cell>
        </row>
        <row r="63">
          <cell r="B63" t="str">
            <v>VSH-5103-11</v>
          </cell>
          <cell r="C63" t="str">
            <v>062</v>
          </cell>
        </row>
        <row r="64">
          <cell r="B64" t="str">
            <v>VSH-5104-01</v>
          </cell>
          <cell r="C64" t="str">
            <v>063</v>
          </cell>
        </row>
        <row r="65">
          <cell r="B65" t="str">
            <v>VSH-5104-02</v>
          </cell>
          <cell r="C65" t="str">
            <v>064</v>
          </cell>
        </row>
        <row r="66">
          <cell r="B66" t="str">
            <v>VSH-5104-03</v>
          </cell>
          <cell r="C66" t="str">
            <v>065</v>
          </cell>
        </row>
        <row r="67">
          <cell r="B67" t="str">
            <v>VSH-5104-04</v>
          </cell>
          <cell r="C67" t="str">
            <v>066</v>
          </cell>
        </row>
        <row r="68">
          <cell r="B68" t="str">
            <v>VSH-5104-05</v>
          </cell>
          <cell r="C68" t="str">
            <v>067</v>
          </cell>
        </row>
        <row r="69">
          <cell r="B69" t="str">
            <v>VSH-5104-06</v>
          </cell>
          <cell r="C69" t="str">
            <v>068</v>
          </cell>
        </row>
        <row r="70">
          <cell r="B70" t="str">
            <v>VSH-5104-07</v>
          </cell>
          <cell r="C70" t="str">
            <v>069</v>
          </cell>
        </row>
        <row r="71">
          <cell r="B71" t="str">
            <v>VSH-5105-01</v>
          </cell>
          <cell r="C71" t="str">
            <v>070</v>
          </cell>
        </row>
        <row r="72">
          <cell r="B72" t="str">
            <v>VSH-5106-01</v>
          </cell>
          <cell r="C72" t="str">
            <v>071</v>
          </cell>
        </row>
        <row r="73">
          <cell r="B73" t="str">
            <v>VSH-5106-02</v>
          </cell>
          <cell r="C73" t="str">
            <v>072</v>
          </cell>
        </row>
        <row r="74">
          <cell r="B74" t="str">
            <v>VSH-5106-03</v>
          </cell>
          <cell r="C74" t="str">
            <v>073</v>
          </cell>
        </row>
        <row r="75">
          <cell r="B75" t="str">
            <v>VSH-5106-04</v>
          </cell>
          <cell r="C75" t="str">
            <v>074</v>
          </cell>
        </row>
        <row r="76">
          <cell r="B76" t="str">
            <v>VSH-5106-05</v>
          </cell>
          <cell r="C76" t="str">
            <v>075</v>
          </cell>
        </row>
        <row r="77">
          <cell r="B77" t="str">
            <v>VSH-5106-06</v>
          </cell>
          <cell r="C77" t="str">
            <v>076</v>
          </cell>
        </row>
        <row r="78">
          <cell r="B78" t="str">
            <v>VSH-5106-09</v>
          </cell>
          <cell r="C78" t="str">
            <v>077</v>
          </cell>
        </row>
        <row r="79">
          <cell r="B79" t="str">
            <v>VSH-5107-01</v>
          </cell>
          <cell r="C79" t="str">
            <v>078</v>
          </cell>
        </row>
        <row r="80">
          <cell r="B80" t="str">
            <v>VSH-5107-02</v>
          </cell>
          <cell r="C80" t="str">
            <v>079</v>
          </cell>
        </row>
        <row r="81">
          <cell r="B81" t="str">
            <v>VSH-5107-03</v>
          </cell>
          <cell r="C81" t="str">
            <v>080</v>
          </cell>
        </row>
        <row r="82">
          <cell r="B82" t="str">
            <v>VSH-5107-04</v>
          </cell>
          <cell r="C82" t="str">
            <v>081</v>
          </cell>
        </row>
        <row r="83">
          <cell r="B83" t="str">
            <v>VSH-5107-05</v>
          </cell>
          <cell r="C83" t="str">
            <v>082</v>
          </cell>
        </row>
        <row r="84">
          <cell r="B84" t="str">
            <v>VSH-5108-01</v>
          </cell>
          <cell r="C84" t="str">
            <v>083</v>
          </cell>
        </row>
        <row r="85">
          <cell r="B85" t="str">
            <v>VSH-5110-01</v>
          </cell>
          <cell r="C85" t="str">
            <v>084</v>
          </cell>
        </row>
        <row r="86">
          <cell r="B86" t="str">
            <v>VSH-5110-02</v>
          </cell>
          <cell r="C86" t="str">
            <v>085</v>
          </cell>
        </row>
        <row r="87">
          <cell r="B87" t="str">
            <v>VSH-5111-01</v>
          </cell>
          <cell r="C87" t="str">
            <v>086</v>
          </cell>
        </row>
        <row r="88">
          <cell r="B88" t="str">
            <v>VSH-5111-02</v>
          </cell>
          <cell r="C88" t="str">
            <v>087</v>
          </cell>
        </row>
        <row r="89">
          <cell r="B89" t="str">
            <v>VSH-5111-03</v>
          </cell>
          <cell r="C89" t="str">
            <v>088</v>
          </cell>
        </row>
        <row r="90">
          <cell r="B90" t="str">
            <v>VSH-5111-04A</v>
          </cell>
          <cell r="C90" t="str">
            <v>089</v>
          </cell>
        </row>
        <row r="91">
          <cell r="B91" t="str">
            <v>VSH-5111-04B</v>
          </cell>
          <cell r="C91" t="str">
            <v>090</v>
          </cell>
        </row>
        <row r="92">
          <cell r="B92" t="str">
            <v>VSH-5111-05</v>
          </cell>
          <cell r="C92" t="str">
            <v>091</v>
          </cell>
        </row>
        <row r="93">
          <cell r="B93" t="str">
            <v>VSH-5112-01</v>
          </cell>
          <cell r="C93" t="str">
            <v>092</v>
          </cell>
        </row>
        <row r="94">
          <cell r="B94" t="str">
            <v>VSH-5112-02</v>
          </cell>
          <cell r="C94" t="str">
            <v>093</v>
          </cell>
        </row>
        <row r="95">
          <cell r="B95" t="str">
            <v>VSH-5112-03</v>
          </cell>
          <cell r="C95" t="str">
            <v>094</v>
          </cell>
        </row>
        <row r="96">
          <cell r="B96" t="str">
            <v>VSH-5112-04</v>
          </cell>
          <cell r="C96" t="str">
            <v>095</v>
          </cell>
        </row>
        <row r="97">
          <cell r="B97" t="str">
            <v>VSH-5112-05</v>
          </cell>
          <cell r="C97" t="str">
            <v>096</v>
          </cell>
        </row>
        <row r="98">
          <cell r="B98" t="str">
            <v>VSH-5112-06</v>
          </cell>
          <cell r="C98" t="str">
            <v>097</v>
          </cell>
        </row>
        <row r="99">
          <cell r="B99" t="str">
            <v>VSH-5112-07</v>
          </cell>
          <cell r="C99" t="str">
            <v>098</v>
          </cell>
        </row>
        <row r="100">
          <cell r="B100" t="str">
            <v>VSH-5112-08</v>
          </cell>
          <cell r="C100" t="str">
            <v>099</v>
          </cell>
        </row>
        <row r="101">
          <cell r="B101" t="str">
            <v>VSH-5112-09</v>
          </cell>
          <cell r="C101" t="str">
            <v>100</v>
          </cell>
        </row>
        <row r="102">
          <cell r="B102" t="str">
            <v>VSH-5113-02</v>
          </cell>
          <cell r="C102" t="str">
            <v>101</v>
          </cell>
        </row>
        <row r="103">
          <cell r="B103" t="str">
            <v>VSH-5113-03</v>
          </cell>
          <cell r="C103" t="str">
            <v>102</v>
          </cell>
        </row>
        <row r="104">
          <cell r="B104" t="str">
            <v>VSH-5113-04</v>
          </cell>
          <cell r="C104" t="str">
            <v>103</v>
          </cell>
        </row>
        <row r="105">
          <cell r="B105" t="str">
            <v>VSH-5113-05</v>
          </cell>
          <cell r="C105" t="str">
            <v>104</v>
          </cell>
        </row>
        <row r="106">
          <cell r="B106" t="str">
            <v>VSH-5113-06</v>
          </cell>
          <cell r="C106" t="str">
            <v>105</v>
          </cell>
        </row>
        <row r="107">
          <cell r="B107" t="str">
            <v>VSH-5113-07</v>
          </cell>
          <cell r="C107" t="str">
            <v>106</v>
          </cell>
        </row>
        <row r="108">
          <cell r="B108" t="str">
            <v>VSH-5113-08</v>
          </cell>
          <cell r="C108" t="str">
            <v>107</v>
          </cell>
        </row>
        <row r="109">
          <cell r="B109" t="str">
            <v>VSH-5113-09</v>
          </cell>
          <cell r="C109" t="str">
            <v>108</v>
          </cell>
        </row>
        <row r="110">
          <cell r="B110" t="str">
            <v>VSH-5113-10</v>
          </cell>
          <cell r="C110" t="str">
            <v>109</v>
          </cell>
        </row>
        <row r="111">
          <cell r="B111" t="str">
            <v>VSH-5113-11</v>
          </cell>
          <cell r="C111" t="str">
            <v>110</v>
          </cell>
        </row>
        <row r="112">
          <cell r="B112" t="str">
            <v>VSH-5132-01</v>
          </cell>
          <cell r="C112" t="str">
            <v>111</v>
          </cell>
        </row>
        <row r="113">
          <cell r="B113" t="str">
            <v>VSH-5132-02</v>
          </cell>
          <cell r="C113" t="str">
            <v>112</v>
          </cell>
        </row>
        <row r="114">
          <cell r="B114" t="str">
            <v>VSH-5135-06</v>
          </cell>
          <cell r="C114" t="str">
            <v>113</v>
          </cell>
        </row>
        <row r="115">
          <cell r="B115" t="str">
            <v>VSH-5101-35</v>
          </cell>
          <cell r="C115" t="str">
            <v>114</v>
          </cell>
        </row>
        <row r="116">
          <cell r="B116" t="str">
            <v>VSH-5101-36</v>
          </cell>
          <cell r="C116" t="str">
            <v>115</v>
          </cell>
        </row>
        <row r="117">
          <cell r="B117" t="str">
            <v>VSH-5102-03</v>
          </cell>
          <cell r="C117" t="str">
            <v>116</v>
          </cell>
        </row>
        <row r="118">
          <cell r="B118" t="str">
            <v>VSH-5102-04</v>
          </cell>
          <cell r="C118" t="str">
            <v>117</v>
          </cell>
        </row>
        <row r="119">
          <cell r="B119" t="str">
            <v>VSH-5102-05</v>
          </cell>
          <cell r="C119" t="str">
            <v>118</v>
          </cell>
        </row>
        <row r="120">
          <cell r="B120" t="str">
            <v>VSH-5102-06</v>
          </cell>
          <cell r="C120" t="str">
            <v>119</v>
          </cell>
        </row>
        <row r="121">
          <cell r="B121" t="str">
            <v>VSH-5102-07</v>
          </cell>
          <cell r="C121" t="str">
            <v>120</v>
          </cell>
        </row>
        <row r="122">
          <cell r="B122" t="str">
            <v>VSH-5102-08</v>
          </cell>
          <cell r="C122" t="str">
            <v>121</v>
          </cell>
        </row>
      </sheetData>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
      <sheetName val="Consumers"/>
      <sheetName val="Sales"/>
      <sheetName val="LT-Rev"/>
      <sheetName val="HT-Rev"/>
      <sheetName val="TP"/>
      <sheetName val="ARR_MYT"/>
      <sheetName val="CSEB"/>
      <sheetName val="CSPGCL"/>
      <sheetName val="CSPTCL"/>
      <sheetName val="CSPDCL"/>
      <sheetName val="Pension and Gratuity"/>
      <sheetName val="Tr. Loss"/>
      <sheetName val="Assumption"/>
      <sheetName val="Power purchase cost"/>
      <sheetName val="PP_Write-up"/>
      <sheetName val="R4_FY15"/>
      <sheetName val="Surplus, Deficit"/>
      <sheetName val="Working Technical"/>
      <sheetName val="Working Financial"/>
      <sheetName val="Sheet2"/>
      <sheetName val="Depreciation"/>
      <sheetName val="Allocation WR benchmarking"/>
      <sheetName val="Wheeling"/>
      <sheetName val="DISTRIBUTION"/>
      <sheetName val="Index"/>
      <sheetName val="S1"/>
      <sheetName val="S1_old"/>
      <sheetName val="S2_New"/>
      <sheetName val="S2"/>
      <sheetName val="S4"/>
      <sheetName val="F1"/>
      <sheetName val="F2"/>
      <sheetName val="F3"/>
      <sheetName val="F4"/>
      <sheetName val="F5"/>
      <sheetName val="F6"/>
      <sheetName val=" F7"/>
      <sheetName val="F8_New"/>
      <sheetName val="F8"/>
      <sheetName val="F9"/>
      <sheetName val="F 10"/>
      <sheetName val="F11"/>
      <sheetName val="F12"/>
      <sheetName val="F 13"/>
      <sheetName val="F14"/>
      <sheetName val="F15"/>
      <sheetName val="F16"/>
      <sheetName val="F17"/>
      <sheetName val="F18"/>
      <sheetName val="F19"/>
      <sheetName val="F20"/>
      <sheetName val="R1"/>
      <sheetName val="R1a"/>
      <sheetName val="R2A"/>
      <sheetName val="R2B"/>
      <sheetName val="R3"/>
      <sheetName val="R4_New"/>
      <sheetName val="R4"/>
      <sheetName val="R5"/>
      <sheetName val="R6"/>
      <sheetName val="R7"/>
      <sheetName val="R8"/>
      <sheetName val="R9"/>
      <sheetName val="R10"/>
      <sheetName val="R11"/>
      <sheetName val="R12_New"/>
      <sheetName val="R12 "/>
      <sheetName val="R13_New"/>
      <sheetName val="R13 "/>
      <sheetName val="R14"/>
      <sheetName val="R 15"/>
      <sheetName val="R16"/>
      <sheetName val="R 17"/>
      <sheetName val="R12"/>
      <sheetName val="ARR"/>
      <sheetName val="R12P"/>
      <sheetName val="R12P_New"/>
      <sheetName val="R13"/>
      <sheetName val="R13P"/>
      <sheetName val="R13P_New"/>
      <sheetName val="T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91">
          <cell r="AE91" t="str">
            <v>FY 17</v>
          </cell>
        </row>
        <row r="92">
          <cell r="AE92" t="str">
            <v>FY 18</v>
          </cell>
        </row>
        <row r="93">
          <cell r="AE93" t="str">
            <v>FY 19</v>
          </cell>
        </row>
        <row r="94">
          <cell r="AE94" t="str">
            <v>FY 20</v>
          </cell>
        </row>
        <row r="95">
          <cell r="AE95" t="str">
            <v>FY 21</v>
          </cell>
        </row>
      </sheetData>
      <sheetData sheetId="14"/>
      <sheetData sheetId="15"/>
      <sheetData sheetId="16"/>
      <sheetData sheetId="17"/>
      <sheetData sheetId="18"/>
      <sheetData sheetId="19">
        <row r="345">
          <cell r="J345">
            <v>596.72063930000002</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ata FY05"/>
      <sheetName val="Base Data AOP FY06"/>
      <sheetName val="Apr 05"/>
      <sheetName val="May 05"/>
      <sheetName val="Jun 05 unaudited"/>
      <sheetName val="June 05"/>
      <sheetName val="July 05"/>
      <sheetName val="Aug 05"/>
      <sheetName val="Sep 05"/>
      <sheetName val="Oct 05"/>
      <sheetName val="Nov 05"/>
      <sheetName val="Sheet1"/>
      <sheetName val="Base Data Actuals"/>
      <sheetName val="MIS (old) "/>
      <sheetName val="Supply"/>
      <sheetName val="S Q1"/>
      <sheetName val="S July 05"/>
      <sheetName val="S Aug 05"/>
      <sheetName val="S Act H1"/>
      <sheetName val="S Oct 05"/>
      <sheetName val="S Nov 05"/>
      <sheetName val="Sheet2"/>
      <sheetName val="Division wise (Aug)"/>
      <sheetName val="Division wise (H1)"/>
      <sheetName val="Analysis"/>
      <sheetName val="not used"/>
      <sheetName val="DETAIL SHEET"/>
    </sheetNames>
    <sheetDataSet>
      <sheetData sheetId="0" refreshError="1"/>
      <sheetData sheetId="1" refreshError="1"/>
      <sheetData sheetId="2" refreshError="1"/>
      <sheetData sheetId="3" refreshError="1">
        <row r="1">
          <cell r="A1" t="str">
            <v>BA</v>
          </cell>
        </row>
        <row r="2">
          <cell r="A2" t="str">
            <v>B100</v>
          </cell>
          <cell r="B2">
            <v>3100180100</v>
          </cell>
          <cell r="C2" t="str">
            <v>REV PS-EN CH-CHT</v>
          </cell>
          <cell r="D2">
            <v>-12101123</v>
          </cell>
        </row>
        <row r="3">
          <cell r="A3" t="str">
            <v>B100</v>
          </cell>
          <cell r="B3">
            <v>3100180101</v>
          </cell>
          <cell r="C3" t="str">
            <v>REV PS-RES -01</v>
          </cell>
          <cell r="D3">
            <v>-37777030.520000003</v>
          </cell>
        </row>
        <row r="4">
          <cell r="A4" t="str">
            <v>B100</v>
          </cell>
          <cell r="B4">
            <v>3100180102</v>
          </cell>
          <cell r="C4" t="str">
            <v>REV PS-HT2-Comm -02</v>
          </cell>
          <cell r="D4">
            <v>-70513425.480000004</v>
          </cell>
        </row>
        <row r="5">
          <cell r="A5" t="str">
            <v>B100</v>
          </cell>
          <cell r="B5">
            <v>3100180104</v>
          </cell>
          <cell r="C5" t="str">
            <v>REV PS-HT2-IND-04</v>
          </cell>
          <cell r="D5">
            <v>-469863705.63999999</v>
          </cell>
        </row>
        <row r="6">
          <cell r="A6" t="str">
            <v>B100</v>
          </cell>
          <cell r="B6">
            <v>3100180106</v>
          </cell>
          <cell r="C6" t="str">
            <v>REV PS - Rly -06</v>
          </cell>
          <cell r="D6">
            <v>-453261289.80000001</v>
          </cell>
        </row>
        <row r="7">
          <cell r="A7" t="str">
            <v>B100</v>
          </cell>
          <cell r="B7">
            <v>3100180107</v>
          </cell>
          <cell r="C7" t="str">
            <v>REV PS - MSEB - 07</v>
          </cell>
          <cell r="D7">
            <v>-252757946</v>
          </cell>
        </row>
        <row r="8">
          <cell r="A8" t="str">
            <v>B100</v>
          </cell>
          <cell r="B8">
            <v>3100180108</v>
          </cell>
          <cell r="C8" t="str">
            <v>REV PS-Textiles-08</v>
          </cell>
          <cell r="D8">
            <v>-179467964.38</v>
          </cell>
        </row>
        <row r="9">
          <cell r="A9" t="str">
            <v>B100</v>
          </cell>
          <cell r="B9">
            <v>3100180109</v>
          </cell>
          <cell r="C9" t="str">
            <v>REV PS-LT1 IND -09</v>
          </cell>
          <cell r="D9">
            <v>-34113635.350000001</v>
          </cell>
        </row>
        <row r="10">
          <cell r="A10" t="str">
            <v>B100</v>
          </cell>
          <cell r="B10">
            <v>3100180110</v>
          </cell>
          <cell r="C10" t="str">
            <v>REV PS-LT1-Comm -10</v>
          </cell>
          <cell r="D10">
            <v>-60173435.539999999</v>
          </cell>
        </row>
        <row r="11">
          <cell r="A11" t="str">
            <v>B100</v>
          </cell>
          <cell r="B11">
            <v>3100180111</v>
          </cell>
          <cell r="C11" t="str">
            <v>REV PS-LT2-IND-11</v>
          </cell>
          <cell r="D11">
            <v>-34652703.350000001</v>
          </cell>
        </row>
        <row r="12">
          <cell r="A12" t="str">
            <v>B100</v>
          </cell>
          <cell r="B12">
            <v>3100180112</v>
          </cell>
          <cell r="C12" t="str">
            <v>REV PS-LT2-Comm -12</v>
          </cell>
          <cell r="D12">
            <v>-153720501.16</v>
          </cell>
        </row>
        <row r="13">
          <cell r="A13" t="str">
            <v>B100</v>
          </cell>
          <cell r="B13">
            <v>3100180120</v>
          </cell>
          <cell r="C13" t="str">
            <v>REV POWER SUP-BEST</v>
          </cell>
          <cell r="D13">
            <v>-1888995870.0999999</v>
          </cell>
        </row>
        <row r="14">
          <cell r="A14" t="str">
            <v>B100</v>
          </cell>
          <cell r="B14">
            <v>3100180130</v>
          </cell>
          <cell r="C14" t="str">
            <v>REV POWER SUP-BSES</v>
          </cell>
          <cell r="D14">
            <v>-1804088770.55</v>
          </cell>
        </row>
        <row r="15">
          <cell r="A15" t="str">
            <v>B100</v>
          </cell>
          <cell r="B15">
            <v>3100180200</v>
          </cell>
          <cell r="C15" t="str">
            <v>CASH DISCOUNT</v>
          </cell>
          <cell r="D15">
            <v>36185225.899999999</v>
          </cell>
        </row>
        <row r="16">
          <cell r="A16" t="str">
            <v>B100</v>
          </cell>
          <cell r="B16">
            <v>3100181600</v>
          </cell>
          <cell r="C16" t="str">
            <v>FUEL ADJ CHG RECOVER</v>
          </cell>
          <cell r="D16">
            <v>-24426.560000000001</v>
          </cell>
        </row>
        <row r="17">
          <cell r="A17" t="str">
            <v>B100</v>
          </cell>
          <cell r="B17">
            <v>3100181610</v>
          </cell>
          <cell r="C17" t="str">
            <v>FUEL ADJ CHG-EXCESS/</v>
          </cell>
          <cell r="D17">
            <v>-220500000</v>
          </cell>
        </row>
        <row r="18">
          <cell r="A18" t="str">
            <v>B100</v>
          </cell>
          <cell r="B18">
            <v>3100181620</v>
          </cell>
          <cell r="C18" t="str">
            <v>FAC - MSEB</v>
          </cell>
          <cell r="D18">
            <v>-221304518</v>
          </cell>
        </row>
        <row r="19">
          <cell r="A19" t="str">
            <v>B100</v>
          </cell>
          <cell r="B19">
            <v>3100183300</v>
          </cell>
          <cell r="C19" t="str">
            <v>WHEELING CHG RECOVER</v>
          </cell>
          <cell r="D19">
            <v>-39061723</v>
          </cell>
        </row>
        <row r="20">
          <cell r="A20" t="str">
            <v>B100</v>
          </cell>
          <cell r="B20">
            <v>3100183310</v>
          </cell>
          <cell r="C20" t="str">
            <v>FACWHEELCHARREC'BLE</v>
          </cell>
          <cell r="D20">
            <v>-1579101</v>
          </cell>
        </row>
        <row r="21">
          <cell r="A21" t="str">
            <v>B100</v>
          </cell>
          <cell r="B21">
            <v>3100380700</v>
          </cell>
          <cell r="C21" t="str">
            <v>RT BUILDING- STAFF</v>
          </cell>
          <cell r="D21">
            <v>-1000</v>
          </cell>
        </row>
        <row r="22">
          <cell r="A22" t="str">
            <v>B100</v>
          </cell>
          <cell r="B22">
            <v>3100481200</v>
          </cell>
          <cell r="C22" t="str">
            <v>INT - LN &amp; ADV-STAFF</v>
          </cell>
          <cell r="D22">
            <v>-15538.02</v>
          </cell>
        </row>
        <row r="23">
          <cell r="A23" t="str">
            <v>B100</v>
          </cell>
          <cell r="B23">
            <v>3100481310</v>
          </cell>
          <cell r="C23" t="str">
            <v>INT - DP RE: EPS</v>
          </cell>
          <cell r="D23">
            <v>-200727.63</v>
          </cell>
        </row>
        <row r="24">
          <cell r="A24" t="str">
            <v>B100</v>
          </cell>
          <cell r="B24">
            <v>3101180110</v>
          </cell>
          <cell r="C24" t="str">
            <v>DELAYED PAYMENT CHG</v>
          </cell>
          <cell r="D24">
            <v>-415681.21</v>
          </cell>
        </row>
        <row r="25">
          <cell r="A25" t="str">
            <v>B100</v>
          </cell>
          <cell r="B25">
            <v>3102283505</v>
          </cell>
          <cell r="C25" t="str">
            <v>INC: MISC SER CHGS</v>
          </cell>
          <cell r="D25">
            <v>-1460000</v>
          </cell>
        </row>
        <row r="26">
          <cell r="A26" t="str">
            <v>B100</v>
          </cell>
          <cell r="B26">
            <v>4110184100</v>
          </cell>
          <cell r="C26" t="str">
            <v>COST POWER PURCHASED</v>
          </cell>
          <cell r="D26">
            <v>-8811954</v>
          </cell>
        </row>
        <row r="27">
          <cell r="A27" t="str">
            <v>B100</v>
          </cell>
          <cell r="B27">
            <v>4110184110</v>
          </cell>
          <cell r="C27" t="str">
            <v>Cost Pow.Pur-Standby</v>
          </cell>
          <cell r="D27">
            <v>660000000</v>
          </cell>
        </row>
        <row r="28">
          <cell r="A28" t="str">
            <v>B100</v>
          </cell>
          <cell r="B28">
            <v>4110184112</v>
          </cell>
          <cell r="C28" t="str">
            <v>Purchase/Transfer of</v>
          </cell>
          <cell r="D28">
            <v>15818968</v>
          </cell>
        </row>
        <row r="29">
          <cell r="A29" t="str">
            <v>B100</v>
          </cell>
          <cell r="B29">
            <v>4110184500</v>
          </cell>
          <cell r="C29" t="str">
            <v>FAC-POWER PUR</v>
          </cell>
          <cell r="D29">
            <v>175612</v>
          </cell>
        </row>
        <row r="30">
          <cell r="A30" t="str">
            <v>B100</v>
          </cell>
          <cell r="B30">
            <v>4110184510</v>
          </cell>
          <cell r="C30" t="str">
            <v>Wind Energy Banked w</v>
          </cell>
          <cell r="D30">
            <v>0</v>
          </cell>
        </row>
        <row r="31">
          <cell r="A31" t="str">
            <v>B100</v>
          </cell>
          <cell r="B31">
            <v>4110284200</v>
          </cell>
          <cell r="C31" t="str">
            <v>TAXSALEOFELECTRICITY</v>
          </cell>
          <cell r="D31">
            <v>41202083</v>
          </cell>
        </row>
        <row r="32">
          <cell r="A32" t="str">
            <v>B100</v>
          </cell>
          <cell r="B32">
            <v>4110384050</v>
          </cell>
          <cell r="C32" t="str">
            <v>DEP-P&amp;M</v>
          </cell>
          <cell r="D32">
            <v>2167622.7000000002</v>
          </cell>
        </row>
        <row r="33">
          <cell r="A33" t="str">
            <v>B100</v>
          </cell>
          <cell r="B33">
            <v>4110384070</v>
          </cell>
          <cell r="C33" t="str">
            <v>DEP-FURNITURE&amp;FIXTUR</v>
          </cell>
          <cell r="D33">
            <v>3972.82</v>
          </cell>
        </row>
        <row r="34">
          <cell r="A34" t="str">
            <v>B100</v>
          </cell>
          <cell r="B34">
            <v>4110384080</v>
          </cell>
          <cell r="C34" t="str">
            <v>DEP-MOTOR VEHICLE</v>
          </cell>
          <cell r="D34">
            <v>42589.34</v>
          </cell>
        </row>
        <row r="35">
          <cell r="A35" t="str">
            <v>B100</v>
          </cell>
          <cell r="B35">
            <v>4110485700</v>
          </cell>
          <cell r="C35" t="str">
            <v>INTSECURITYDEPOSITS</v>
          </cell>
          <cell r="D35">
            <v>2260000</v>
          </cell>
        </row>
        <row r="36">
          <cell r="A36" t="str">
            <v>B100</v>
          </cell>
          <cell r="B36">
            <v>4110485800</v>
          </cell>
          <cell r="C36" t="str">
            <v>OTHER INT&amp;COMMITMENT</v>
          </cell>
          <cell r="D36">
            <v>-1397544</v>
          </cell>
        </row>
        <row r="37">
          <cell r="A37" t="str">
            <v>B100</v>
          </cell>
          <cell r="B37">
            <v>4110886200</v>
          </cell>
          <cell r="C37" t="str">
            <v>COMM : BG</v>
          </cell>
          <cell r="D37">
            <v>2627500</v>
          </cell>
        </row>
        <row r="38">
          <cell r="A38" t="str">
            <v>B100</v>
          </cell>
          <cell r="B38">
            <v>4111288700</v>
          </cell>
          <cell r="C38" t="str">
            <v>C-SULTANT'S FEES</v>
          </cell>
          <cell r="D38">
            <v>77000</v>
          </cell>
        </row>
        <row r="39">
          <cell r="A39" t="str">
            <v>B100</v>
          </cell>
          <cell r="B39">
            <v>4111289210</v>
          </cell>
          <cell r="C39" t="str">
            <v>COMPUTER OP EXP</v>
          </cell>
          <cell r="D39">
            <v>22464</v>
          </cell>
        </row>
        <row r="40">
          <cell r="A40" t="str">
            <v>B100</v>
          </cell>
          <cell r="B40">
            <v>4111289950</v>
          </cell>
          <cell r="C40" t="str">
            <v>TATA BRAND EQUITY</v>
          </cell>
          <cell r="D40">
            <v>35380</v>
          </cell>
        </row>
        <row r="41">
          <cell r="A41" t="str">
            <v>B100</v>
          </cell>
          <cell r="B41">
            <v>4111290065</v>
          </cell>
          <cell r="C41" t="str">
            <v>DPC - MSEB BILLS</v>
          </cell>
          <cell r="D41">
            <v>-39266414</v>
          </cell>
        </row>
        <row r="42">
          <cell r="A42" t="str">
            <v>B100</v>
          </cell>
          <cell r="B42">
            <v>4111484800</v>
          </cell>
          <cell r="C42" t="str">
            <v>TAXATION (PROVISION)</v>
          </cell>
          <cell r="D42">
            <v>1068028000</v>
          </cell>
        </row>
        <row r="43">
          <cell r="A43" t="str">
            <v>B100</v>
          </cell>
          <cell r="B43">
            <v>4111988500</v>
          </cell>
          <cell r="C43" t="str">
            <v>COST OF SERVICES</v>
          </cell>
          <cell r="D43">
            <v>800608.39</v>
          </cell>
        </row>
        <row r="44">
          <cell r="A44" t="str">
            <v>B100</v>
          </cell>
          <cell r="B44">
            <v>4111988510</v>
          </cell>
          <cell r="C44" t="str">
            <v>PUR/TRANOFSERVICES</v>
          </cell>
          <cell r="D44">
            <v>382049</v>
          </cell>
        </row>
        <row r="45">
          <cell r="A45" t="str">
            <v>B100</v>
          </cell>
          <cell r="B45">
            <v>4111988520</v>
          </cell>
          <cell r="C45" t="str">
            <v>COST SERVICES-TCE</v>
          </cell>
          <cell r="D45">
            <v>91285</v>
          </cell>
        </row>
        <row r="46">
          <cell r="A46" t="str">
            <v>B100</v>
          </cell>
          <cell r="B46">
            <v>4112584300</v>
          </cell>
          <cell r="C46" t="str">
            <v>WHEELINGCHARGESPAID</v>
          </cell>
          <cell r="D46">
            <v>36894841</v>
          </cell>
        </row>
        <row r="47">
          <cell r="A47" t="str">
            <v>B100</v>
          </cell>
          <cell r="B47">
            <v>4112584310</v>
          </cell>
          <cell r="C47" t="str">
            <v>FACWHEELCHGSP'BLE</v>
          </cell>
          <cell r="D47">
            <v>1403489</v>
          </cell>
        </row>
        <row r="48">
          <cell r="A48" t="str">
            <v>B100</v>
          </cell>
          <cell r="B48">
            <v>4113784950</v>
          </cell>
          <cell r="C48" t="str">
            <v>DEFERRED TAX (PROVIS</v>
          </cell>
          <cell r="D48">
            <v>-6108000</v>
          </cell>
        </row>
        <row r="49">
          <cell r="A49" t="str">
            <v>B100</v>
          </cell>
          <cell r="B49">
            <v>4120190100</v>
          </cell>
          <cell r="C49" t="str">
            <v>CONFIDENTIAL SALARY&amp;</v>
          </cell>
          <cell r="D49">
            <v>206500</v>
          </cell>
        </row>
        <row r="50">
          <cell r="A50" t="str">
            <v>B100</v>
          </cell>
          <cell r="B50">
            <v>4120190200</v>
          </cell>
          <cell r="C50" t="str">
            <v>STAFF SALARY&amp;D.A.</v>
          </cell>
          <cell r="D50">
            <v>80170</v>
          </cell>
        </row>
        <row r="51">
          <cell r="A51" t="str">
            <v>B100</v>
          </cell>
          <cell r="B51">
            <v>4120190510</v>
          </cell>
          <cell r="C51" t="str">
            <v>Dearness Allowance</v>
          </cell>
          <cell r="D51">
            <v>305427</v>
          </cell>
        </row>
        <row r="52">
          <cell r="A52" t="str">
            <v>B100</v>
          </cell>
          <cell r="B52">
            <v>4120190600</v>
          </cell>
          <cell r="C52" t="str">
            <v>OVERTIME</v>
          </cell>
          <cell r="D52">
            <v>97931.15</v>
          </cell>
        </row>
        <row r="53">
          <cell r="A53" t="str">
            <v>B100</v>
          </cell>
          <cell r="B53">
            <v>4120190900</v>
          </cell>
          <cell r="C53" t="str">
            <v>EDUCATIONAL BENEFIT</v>
          </cell>
          <cell r="D53">
            <v>15600</v>
          </cell>
        </row>
        <row r="54">
          <cell r="A54" t="str">
            <v>B100</v>
          </cell>
          <cell r="B54">
            <v>4120191400</v>
          </cell>
          <cell r="C54" t="str">
            <v>HOUSE REP/MNTC ALLW</v>
          </cell>
          <cell r="D54">
            <v>116330</v>
          </cell>
        </row>
        <row r="55">
          <cell r="A55" t="str">
            <v>B100</v>
          </cell>
          <cell r="B55">
            <v>4120192800</v>
          </cell>
          <cell r="C55" t="str">
            <v>SPECIAL ALLW</v>
          </cell>
          <cell r="D55">
            <v>15820</v>
          </cell>
        </row>
        <row r="56">
          <cell r="A56" t="str">
            <v>B100</v>
          </cell>
          <cell r="B56">
            <v>4120192820</v>
          </cell>
          <cell r="C56" t="str">
            <v>CONVEYANCE ALLW</v>
          </cell>
          <cell r="D56">
            <v>48500</v>
          </cell>
        </row>
        <row r="57">
          <cell r="A57" t="str">
            <v>B100</v>
          </cell>
          <cell r="B57">
            <v>4120192830</v>
          </cell>
          <cell r="C57" t="str">
            <v>COMP ALLW</v>
          </cell>
          <cell r="D57">
            <v>58900</v>
          </cell>
        </row>
        <row r="58">
          <cell r="A58" t="str">
            <v>B100</v>
          </cell>
          <cell r="B58">
            <v>4120192835</v>
          </cell>
          <cell r="C58" t="str">
            <v>Telephone Allowance</v>
          </cell>
          <cell r="D58">
            <v>6000</v>
          </cell>
        </row>
        <row r="59">
          <cell r="A59" t="str">
            <v>B100</v>
          </cell>
          <cell r="B59">
            <v>4120193100</v>
          </cell>
          <cell r="C59" t="str">
            <v>INT SUBSIDY</v>
          </cell>
          <cell r="D59">
            <v>3223</v>
          </cell>
        </row>
        <row r="60">
          <cell r="A60" t="str">
            <v>B100</v>
          </cell>
          <cell r="B60">
            <v>4120193110</v>
          </cell>
          <cell r="C60" t="str">
            <v>Other Allowances</v>
          </cell>
          <cell r="D60">
            <v>24200</v>
          </cell>
        </row>
        <row r="61">
          <cell r="A61" t="str">
            <v>B100</v>
          </cell>
          <cell r="B61">
            <v>4120291000</v>
          </cell>
          <cell r="C61" t="str">
            <v>LEAVE TRAVEL ASSISTA</v>
          </cell>
          <cell r="D61">
            <v>12050</v>
          </cell>
        </row>
        <row r="62">
          <cell r="A62" t="str">
            <v>B100</v>
          </cell>
          <cell r="B62">
            <v>4120291100</v>
          </cell>
          <cell r="C62" t="str">
            <v>MEDICAL EXP</v>
          </cell>
          <cell r="D62">
            <v>57738</v>
          </cell>
        </row>
        <row r="63">
          <cell r="A63" t="str">
            <v>B100</v>
          </cell>
          <cell r="B63">
            <v>4120292000</v>
          </cell>
          <cell r="C63" t="str">
            <v>SUNDRY WELFARE EXP</v>
          </cell>
          <cell r="D63">
            <v>27720</v>
          </cell>
        </row>
        <row r="64">
          <cell r="A64" t="str">
            <v>B100</v>
          </cell>
          <cell r="B64">
            <v>4120392100</v>
          </cell>
          <cell r="C64" t="str">
            <v>CO'S CONT PROVIDENT</v>
          </cell>
          <cell r="D64">
            <v>71052</v>
          </cell>
        </row>
        <row r="65">
          <cell r="A65" t="str">
            <v>B100</v>
          </cell>
          <cell r="B65">
            <v>4130294685</v>
          </cell>
          <cell r="C65" t="str">
            <v>UNCODED MATERIL 2910</v>
          </cell>
          <cell r="D65">
            <v>0</v>
          </cell>
        </row>
        <row r="66">
          <cell r="A66" t="str">
            <v>B100</v>
          </cell>
          <cell r="B66">
            <v>4130294700</v>
          </cell>
          <cell r="C66" t="str">
            <v>PETROL/DSL CONS 1400</v>
          </cell>
          <cell r="D66">
            <v>34110.31</v>
          </cell>
        </row>
        <row r="67">
          <cell r="A67" t="str">
            <v>B100</v>
          </cell>
          <cell r="B67">
            <v>4130294715</v>
          </cell>
          <cell r="C67" t="str">
            <v>SERV-UNCODED/ONE TM</v>
          </cell>
          <cell r="D67">
            <v>0</v>
          </cell>
        </row>
        <row r="68">
          <cell r="A68" t="str">
            <v>B100</v>
          </cell>
          <cell r="B68">
            <v>4130595800</v>
          </cell>
          <cell r="C68" t="str">
            <v>TRANSP VEH-REPAIRS</v>
          </cell>
          <cell r="D68">
            <v>11942</v>
          </cell>
        </row>
        <row r="69">
          <cell r="A69" t="str">
            <v>B100</v>
          </cell>
          <cell r="B69">
            <v>4130796400</v>
          </cell>
          <cell r="C69" t="str">
            <v>RT BUILDINGS</v>
          </cell>
          <cell r="D69">
            <v>967212</v>
          </cell>
        </row>
        <row r="70">
          <cell r="A70" t="str">
            <v>B100</v>
          </cell>
          <cell r="B70">
            <v>4131097600</v>
          </cell>
          <cell r="C70" t="str">
            <v>ELECTRICITY CONSUMED</v>
          </cell>
          <cell r="D70">
            <v>8376.7800000000007</v>
          </cell>
        </row>
        <row r="71">
          <cell r="A71" t="str">
            <v>B100</v>
          </cell>
          <cell r="B71">
            <v>4131097800</v>
          </cell>
          <cell r="C71" t="str">
            <v>OTHER FEES</v>
          </cell>
          <cell r="D71">
            <v>0</v>
          </cell>
        </row>
        <row r="72">
          <cell r="A72" t="str">
            <v>B100</v>
          </cell>
          <cell r="B72">
            <v>4131097900</v>
          </cell>
          <cell r="C72" t="str">
            <v>TELEPHONE CHG</v>
          </cell>
          <cell r="D72">
            <v>59993</v>
          </cell>
        </row>
        <row r="73">
          <cell r="A73" t="str">
            <v>B100</v>
          </cell>
          <cell r="B73">
            <v>4131098000</v>
          </cell>
          <cell r="C73" t="str">
            <v>STAMPS AND TELEGRAMS</v>
          </cell>
          <cell r="D73">
            <v>7067.51</v>
          </cell>
        </row>
        <row r="74">
          <cell r="A74" t="str">
            <v>B100</v>
          </cell>
          <cell r="B74">
            <v>4131098100</v>
          </cell>
          <cell r="C74" t="str">
            <v>PRINTING AND STN.</v>
          </cell>
          <cell r="D74">
            <v>102425.2</v>
          </cell>
        </row>
        <row r="75">
          <cell r="A75" t="str">
            <v>B100</v>
          </cell>
          <cell r="B75">
            <v>4131098200</v>
          </cell>
          <cell r="C75" t="str">
            <v>BOOKS AND PERIODICAL</v>
          </cell>
          <cell r="D75">
            <v>1881</v>
          </cell>
        </row>
        <row r="76">
          <cell r="A76" t="str">
            <v>B100</v>
          </cell>
          <cell r="B76">
            <v>4131098400</v>
          </cell>
          <cell r="C76" t="str">
            <v>ENTERTAINMENT</v>
          </cell>
          <cell r="D76">
            <v>1020</v>
          </cell>
        </row>
        <row r="77">
          <cell r="A77" t="str">
            <v>B100</v>
          </cell>
          <cell r="B77">
            <v>4131098600</v>
          </cell>
          <cell r="C77" t="str">
            <v>MISCELLANEOUS</v>
          </cell>
          <cell r="D77">
            <v>76487.77</v>
          </cell>
        </row>
        <row r="78">
          <cell r="A78" t="str">
            <v>B100</v>
          </cell>
          <cell r="B78">
            <v>4131098605</v>
          </cell>
          <cell r="C78" t="str">
            <v>Rounding Diff ExpA/C</v>
          </cell>
          <cell r="D78">
            <v>496.6</v>
          </cell>
        </row>
        <row r="79">
          <cell r="A79" t="str">
            <v>B100</v>
          </cell>
          <cell r="B79">
            <v>4131098610</v>
          </cell>
          <cell r="C79" t="str">
            <v>FOOD&amp;CONVEYANCE</v>
          </cell>
          <cell r="D79">
            <v>6400</v>
          </cell>
        </row>
        <row r="80">
          <cell r="A80" t="str">
            <v>B100</v>
          </cell>
          <cell r="B80">
            <v>4131098700</v>
          </cell>
          <cell r="C80" t="str">
            <v>BANK CHG</v>
          </cell>
          <cell r="D80">
            <v>4222</v>
          </cell>
        </row>
        <row r="81">
          <cell r="A81" t="str">
            <v>B100</v>
          </cell>
          <cell r="B81">
            <v>4131099100</v>
          </cell>
          <cell r="C81" t="str">
            <v>TRAVELLING EXP-INLAN</v>
          </cell>
          <cell r="D81">
            <v>9551</v>
          </cell>
        </row>
        <row r="82">
          <cell r="A82" t="str">
            <v>B100</v>
          </cell>
          <cell r="B82">
            <v>4131099300</v>
          </cell>
          <cell r="C82" t="str">
            <v>CONVEYANCE CHG</v>
          </cell>
          <cell r="D82">
            <v>27277</v>
          </cell>
        </row>
        <row r="83">
          <cell r="A83" t="str">
            <v>B100</v>
          </cell>
          <cell r="B83">
            <v>4131099520</v>
          </cell>
          <cell r="C83" t="str">
            <v>TRANSPORT CHARGES</v>
          </cell>
          <cell r="D83">
            <v>-1258</v>
          </cell>
        </row>
        <row r="84">
          <cell r="A84" t="str">
            <v>B100</v>
          </cell>
          <cell r="B84">
            <v>4131099700</v>
          </cell>
          <cell r="C84" t="str">
            <v>FURN/TLS &lt;.500) W/O</v>
          </cell>
          <cell r="D84">
            <v>4800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nrates"/>
      <sheetName val="Sheet1"/>
      <sheetName val="INDEX"/>
      <sheetName val="May 05"/>
      <sheetName val="FAC (Running FAC)"/>
      <sheetName val="総括（1～3Q）"/>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1"/>
      <sheetName val="ST1B"/>
      <sheetName val="ST2"/>
      <sheetName val="ST3"/>
      <sheetName val="ST8"/>
      <sheetName val="SCH1"/>
      <sheetName val="SCH4"/>
      <sheetName val="SCH5"/>
      <sheetName val="SCH6"/>
      <sheetName val="SCH7"/>
      <sheetName val="SCH8"/>
      <sheetName val="SCH9"/>
      <sheetName val="SCH10"/>
      <sheetName val="SCH11"/>
      <sheetName val="SCH12"/>
      <sheetName val="SCH14"/>
      <sheetName val="SCH15"/>
      <sheetName val="SCH16"/>
      <sheetName val="SCH17"/>
      <sheetName val="SCH18"/>
      <sheetName val="SCH19"/>
      <sheetName val="SCH21"/>
      <sheetName val="SCH22"/>
      <sheetName val="SCH23"/>
      <sheetName val="SCH24"/>
      <sheetName val="SCH25"/>
      <sheetName val="SCH26"/>
      <sheetName val="SCH26A"/>
      <sheetName val="SCH26B"/>
      <sheetName val="SCH26C"/>
      <sheetName val="SCH26D"/>
      <sheetName val="SCH26E"/>
      <sheetName val="SCH27"/>
      <sheetName val="SCH28"/>
      <sheetName val="SCH29"/>
      <sheetName val="SCH30"/>
      <sheetName val="SCH31"/>
      <sheetName val="SCH32"/>
      <sheetName val="SCH33"/>
      <sheetName val="SCH34"/>
      <sheetName val="SCH35"/>
      <sheetName val="SCH36"/>
    </sheetNames>
    <sheetDataSet>
      <sheetData sheetId="0" refreshError="1">
        <row r="6">
          <cell r="B6" t="str">
            <v/>
          </cell>
        </row>
        <row r="8176">
          <cell r="IV8176" t="str">
            <v>/FS~R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공통데이터"/>
      <sheetName val="자재리스트"/>
      <sheetName val="제작데이터"/>
      <sheetName val="타부서집계표"/>
      <sheetName val="개요"/>
      <sheetName val="결재"/>
      <sheetName val="대비"/>
      <sheetName val="변동"/>
      <sheetName val="적용내역데이터"/>
      <sheetName val="세부내역"/>
      <sheetName val="1"/>
      <sheetName val="집계표"/>
      <sheetName val="생산목표"/>
      <sheetName val="제품별부문원가"/>
      <sheetName val="제품별제조원가"/>
      <sheetName val="C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23">
          <cell r="D23">
            <v>699.42</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0</v>
          </cell>
        </row>
        <row r="51">
          <cell r="D51">
            <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 02 Est.at Existing Tariff"/>
      <sheetName val="Financial Estimates"/>
      <sheetName val="Sheet1"/>
      <sheetName val="Sheet2"/>
      <sheetName val="Sheet3"/>
      <sheetName val="OT-Common (DB)"/>
      <sheetName val="OT-Common (Cr)"/>
      <sheetName val="OT-Discom(DB)"/>
      <sheetName val="OT-Discom(CR)"/>
      <sheetName val="FAC (Running FAC)"/>
      <sheetName val="Input_Sheet"/>
      <sheetName val="ins spares"/>
    </sheetNames>
    <sheetDataSet>
      <sheetData sheetId="0" refreshError="1"/>
      <sheetData sheetId="1" refreshError="1">
        <row r="271">
          <cell r="B271" t="str">
            <v>PURCHASE MVA /MONTH</v>
          </cell>
          <cell r="D271">
            <v>550</v>
          </cell>
        </row>
        <row r="273">
          <cell r="B273" t="str">
            <v>MONTHLY FIXED WLG.CHRGS.RECOVERABLE(Rs.LACS)</v>
          </cell>
          <cell r="D273">
            <v>67.11</v>
          </cell>
        </row>
        <row r="274">
          <cell r="B274" t="str">
            <v>MONTHLY FIXED WLG.CHARGES PAYABLE(Rs.LACS)</v>
          </cell>
          <cell r="D274">
            <v>67.11</v>
          </cell>
        </row>
        <row r="276">
          <cell r="B276" t="str">
            <v>% OF (U#5 + U#6+U#7) POWER WHEELED</v>
          </cell>
          <cell r="D276">
            <v>26</v>
          </cell>
        </row>
        <row r="278">
          <cell r="B278" t="str">
            <v>ENERGY LOSS IN WHEELING MSEB'S POWER (%)</v>
          </cell>
          <cell r="D278">
            <v>3.09</v>
          </cell>
        </row>
        <row r="279">
          <cell r="B279" t="str">
            <v>ENERGY LOSS IN WHEELING TPC'S POWER (%)</v>
          </cell>
          <cell r="D279">
            <v>2</v>
          </cell>
        </row>
        <row r="281">
          <cell r="B281" t="str">
            <v>PURCHASE ENERGY RATE (P/U)</v>
          </cell>
          <cell r="D281">
            <v>290</v>
          </cell>
        </row>
        <row r="282">
          <cell r="B282" t="str">
            <v>PURCHASE FAC RATE (P/U)</v>
          </cell>
          <cell r="D282">
            <v>0</v>
          </cell>
        </row>
        <row r="283">
          <cell r="B283" t="str">
            <v>ENERGY RATE FOR SALE TO MSEB (P/U)</v>
          </cell>
          <cell r="D283">
            <v>125.9</v>
          </cell>
        </row>
        <row r="284">
          <cell r="B284" t="str">
            <v>ENERGY RATE FOR SALE TO INTER STATE  UTILITIES (P/U)</v>
          </cell>
          <cell r="D284">
            <v>125.9</v>
          </cell>
        </row>
        <row r="285">
          <cell r="B285" t="str">
            <v>FAC RATE FOR SALE TO INTER STATE  UTILITIES (P/U)</v>
          </cell>
          <cell r="D285">
            <v>124.1</v>
          </cell>
        </row>
        <row r="286">
          <cell r="B286" t="str">
            <v>FAC RATE FOR SALE TO MSEB (P/U)</v>
          </cell>
          <cell r="D286">
            <v>124.1</v>
          </cell>
        </row>
        <row r="287">
          <cell r="B287" t="str">
            <v>PURCHASE MD RATE (Rs./KVA/MONTH)</v>
          </cell>
          <cell r="D287">
            <v>600</v>
          </cell>
        </row>
        <row r="289">
          <cell r="B289" t="str">
            <v>FUEL COST (Rs./MT) :</v>
          </cell>
        </row>
        <row r="290">
          <cell r="B290" t="str">
            <v>COAL</v>
          </cell>
          <cell r="D290">
            <v>2875</v>
          </cell>
        </row>
        <row r="291">
          <cell r="B291" t="str">
            <v>GAS</v>
          </cell>
          <cell r="D291">
            <v>4200</v>
          </cell>
        </row>
        <row r="292">
          <cell r="B292" t="str">
            <v>LSHS/ LSWR</v>
          </cell>
          <cell r="D292">
            <v>9760</v>
          </cell>
        </row>
        <row r="293">
          <cell r="B293" t="str">
            <v>-</v>
          </cell>
          <cell r="C293" t="str">
            <v>-</v>
          </cell>
          <cell r="D293" t="str">
            <v>-</v>
          </cell>
        </row>
        <row r="295">
          <cell r="B295" t="str">
            <v>Tariff :</v>
          </cell>
        </row>
        <row r="296">
          <cell r="C296" t="str">
            <v>MD</v>
          </cell>
          <cell r="D296" t="str">
            <v>RKVAH</v>
          </cell>
        </row>
        <row r="297">
          <cell r="C297" t="str">
            <v>(Rs./KVA)</v>
          </cell>
          <cell r="D297" t="str">
            <v>(P./RKVAH)</v>
          </cell>
        </row>
        <row r="298">
          <cell r="B298" t="str">
            <v>TEXTILES</v>
          </cell>
          <cell r="C298">
            <v>170</v>
          </cell>
          <cell r="D298">
            <v>0</v>
          </cell>
        </row>
        <row r="299">
          <cell r="B299" t="str">
            <v>HT INDUSTRIES</v>
          </cell>
          <cell r="C299">
            <v>170</v>
          </cell>
          <cell r="D299">
            <v>0</v>
          </cell>
        </row>
        <row r="300">
          <cell r="B300" t="str">
            <v>HT COMMERCIAL</v>
          </cell>
          <cell r="C300">
            <v>170</v>
          </cell>
          <cell r="D300">
            <v>0</v>
          </cell>
        </row>
        <row r="301">
          <cell r="B301" t="str">
            <v>LT INDUSTRIES (TWO PART TARIFF)</v>
          </cell>
          <cell r="C301">
            <v>175</v>
          </cell>
          <cell r="D301">
            <v>0</v>
          </cell>
        </row>
        <row r="302">
          <cell r="B302" t="str">
            <v>LT COMMERCIAL (TWO PART TARIFF)</v>
          </cell>
          <cell r="C302">
            <v>175</v>
          </cell>
          <cell r="D302">
            <v>0</v>
          </cell>
        </row>
        <row r="303">
          <cell r="B303" t="str">
            <v>RAILWAYS</v>
          </cell>
          <cell r="C303">
            <v>170</v>
          </cell>
          <cell r="D303">
            <v>0</v>
          </cell>
        </row>
        <row r="304">
          <cell r="B304" t="str">
            <v>BEST</v>
          </cell>
          <cell r="C304">
            <v>170</v>
          </cell>
          <cell r="D304">
            <v>0</v>
          </cell>
        </row>
        <row r="305">
          <cell r="B305" t="str">
            <v>BSES (22/33 KV)</v>
          </cell>
          <cell r="C305">
            <v>200</v>
          </cell>
          <cell r="D305">
            <v>0</v>
          </cell>
        </row>
        <row r="306">
          <cell r="B306" t="str">
            <v>BSES (220 KV)</v>
          </cell>
          <cell r="D306">
            <v>0</v>
          </cell>
        </row>
        <row r="307">
          <cell r="B307" t="str">
            <v>MSEB 22 KV</v>
          </cell>
          <cell r="D307">
            <v>0</v>
          </cell>
        </row>
        <row r="308">
          <cell r="B308" t="str">
            <v>ENERGY RATE (P/KWH) :</v>
          </cell>
        </row>
        <row r="309">
          <cell r="B309" t="str">
            <v>TEXTILES</v>
          </cell>
          <cell r="C309">
            <v>197</v>
          </cell>
        </row>
        <row r="310">
          <cell r="B310" t="str">
            <v>HT INDUSTRIES</v>
          </cell>
          <cell r="C310">
            <v>197</v>
          </cell>
        </row>
        <row r="311">
          <cell r="B311" t="str">
            <v>HT COMMERCIAL</v>
          </cell>
          <cell r="C311">
            <v>197</v>
          </cell>
        </row>
        <row r="312">
          <cell r="B312" t="str">
            <v>LT INDUSTRIES (SINGLE PART TARIFF)</v>
          </cell>
          <cell r="C312">
            <v>272</v>
          </cell>
        </row>
        <row r="313">
          <cell r="B313" t="str">
            <v>LT INDUSTRIES (TWO PART TARIFF)</v>
          </cell>
          <cell r="C313">
            <v>202</v>
          </cell>
        </row>
        <row r="314">
          <cell r="B314" t="str">
            <v>LT COMMERCIAL (SINGLE PART TARIFF)</v>
          </cell>
          <cell r="C314">
            <v>272</v>
          </cell>
        </row>
        <row r="315">
          <cell r="B315" t="str">
            <v>LT COMMERCIAL (TWO PART TARIFF)</v>
          </cell>
          <cell r="C315">
            <v>202</v>
          </cell>
        </row>
        <row r="316">
          <cell r="B316" t="str">
            <v>RESIDENTIAL</v>
          </cell>
          <cell r="C316">
            <v>212.75</v>
          </cell>
        </row>
        <row r="317">
          <cell r="B317" t="str">
            <v>RAILWAYS</v>
          </cell>
          <cell r="C317">
            <v>197</v>
          </cell>
        </row>
        <row r="318">
          <cell r="B318" t="str">
            <v>BEST</v>
          </cell>
          <cell r="C318">
            <v>177</v>
          </cell>
        </row>
        <row r="319">
          <cell r="B319" t="str">
            <v>BSES</v>
          </cell>
          <cell r="C319">
            <v>177</v>
          </cell>
        </row>
        <row r="320">
          <cell r="B320" t="str">
            <v>BSES 220 KV</v>
          </cell>
          <cell r="C320">
            <v>209</v>
          </cell>
        </row>
        <row r="321">
          <cell r="B321" t="str">
            <v>BASIC COST OF FUEL (Rs./MKCL)</v>
          </cell>
          <cell r="C321">
            <v>325</v>
          </cell>
        </row>
        <row r="322">
          <cell r="B322" t="str">
            <v>-</v>
          </cell>
        </row>
        <row r="323">
          <cell r="B323" t="str">
            <v>CALORIFIC VALUES (MKCL/MT) :</v>
          </cell>
        </row>
        <row r="324">
          <cell r="B324" t="str">
            <v>COAL</v>
          </cell>
          <cell r="C324">
            <v>5.1278223000000001</v>
          </cell>
        </row>
        <row r="325">
          <cell r="B325" t="str">
            <v>GAS</v>
          </cell>
          <cell r="C325">
            <v>13</v>
          </cell>
        </row>
        <row r="326">
          <cell r="B326" t="str">
            <v>LSHS/ LSWR</v>
          </cell>
          <cell r="C326">
            <v>10.5</v>
          </cell>
        </row>
        <row r="328">
          <cell r="B328" t="str">
            <v>HEAT RATES &amp; AUXILIARY CONSUMPTION</v>
          </cell>
          <cell r="C328" t="str">
            <v>HEAT RATE</v>
          </cell>
          <cell r="D328" t="str">
            <v>AUX.CONS.</v>
          </cell>
        </row>
        <row r="329">
          <cell r="C329" t="str">
            <v>MKCL/MU</v>
          </cell>
          <cell r="D329" t="str">
            <v>(%)</v>
          </cell>
        </row>
        <row r="330">
          <cell r="B330" t="str">
            <v>------------------------------------</v>
          </cell>
          <cell r="C330" t="str">
            <v>-</v>
          </cell>
          <cell r="D330" t="str">
            <v>-</v>
          </cell>
        </row>
        <row r="332">
          <cell r="B332" t="str">
            <v>UNIT NO.4</v>
          </cell>
          <cell r="C332">
            <v>2600</v>
          </cell>
          <cell r="D332">
            <v>10</v>
          </cell>
        </row>
        <row r="333">
          <cell r="B333" t="str">
            <v>UNIT NO.5</v>
          </cell>
          <cell r="C333">
            <v>2430</v>
          </cell>
          <cell r="D333">
            <v>5</v>
          </cell>
        </row>
        <row r="334">
          <cell r="B334" t="str">
            <v>UNIT NO.6</v>
          </cell>
          <cell r="C334">
            <v>2380</v>
          </cell>
          <cell r="D334">
            <v>4</v>
          </cell>
        </row>
        <row r="335">
          <cell r="B335" t="str">
            <v>UNIT NO.7 AS GT</v>
          </cell>
          <cell r="C335">
            <v>2850</v>
          </cell>
          <cell r="D335">
            <v>2.1</v>
          </cell>
        </row>
        <row r="336">
          <cell r="B336" t="str">
            <v>UNIT NO.7</v>
          </cell>
          <cell r="C336">
            <v>2000</v>
          </cell>
          <cell r="D336">
            <v>2</v>
          </cell>
        </row>
        <row r="337">
          <cell r="B337" t="str">
            <v>HYDRO</v>
          </cell>
          <cell r="D337">
            <v>0.5</v>
          </cell>
        </row>
        <row r="339">
          <cell r="B339" t="str">
            <v>TAXABLE SALES</v>
          </cell>
          <cell r="C339">
            <v>91</v>
          </cell>
          <cell r="D339" t="str">
            <v>%</v>
          </cell>
        </row>
        <row r="340">
          <cell r="B340" t="str">
            <v xml:space="preserve">TAX ON  SALE RATE </v>
          </cell>
          <cell r="C340">
            <v>15</v>
          </cell>
          <cell r="D340" t="str">
            <v>(P/KWH)</v>
          </cell>
        </row>
        <row r="342">
          <cell r="B342" t="str">
            <v>T T &amp; D LOSSES</v>
          </cell>
          <cell r="C342">
            <v>2.2999999999999998</v>
          </cell>
          <cell r="D342" t="str">
            <v>%</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ARR-PU"/>
      <sheetName val="Company-Base"/>
      <sheetName val="License Area"/>
      <sheetName val="LA-PU"/>
      <sheetName val="LA-PU (AJE)"/>
      <sheetName val="LA-Revenue"/>
      <sheetName val="ABP Input"/>
      <sheetName val="financial data"/>
      <sheetName val="Notional Int"/>
      <sheetName val="LA-ARR"/>
      <sheetName val="LA-ARR FY07"/>
      <sheetName val="LA-ARR-PU FY07"/>
      <sheetName val="LA-ARR-PU "/>
      <sheetName val="Co. Graphs"/>
      <sheetName val="OB Graphs"/>
      <sheetName val="License_Area"/>
      <sheetName val="LA-PU_(AJE)"/>
      <sheetName val="ABP_Input"/>
      <sheetName val="financial_data"/>
      <sheetName val="Notional_Int"/>
      <sheetName val="LA-ARR_FY07"/>
      <sheetName val="LA-ARR-PU_FY07"/>
      <sheetName val="LA-ARR-PU_"/>
      <sheetName val="Co__Graphs"/>
      <sheetName val="OB_Graph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Sheet1"/>
      <sheetName val="WOrking"/>
    </sheetNames>
    <sheetDataSet>
      <sheetData sheetId="0" refreshError="1"/>
      <sheetData sheetId="1" refreshError="1"/>
      <sheetData sheetId="2"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Tax Sheet"/>
      <sheetName val="Movement"/>
      <sheetName val="FX Gain"/>
      <sheetName val="PBT Movement"/>
      <sheetName val="Scope of Work"/>
      <sheetName val="MIS Comparison"/>
      <sheetName val="Effective Tax Rate"/>
      <sheetName val="Tax Computation"/>
      <sheetName val="New Projects"/>
      <sheetName val="IT Depreciation"/>
      <sheetName val="fcgain"/>
      <sheetName val="FX Gain (2)"/>
      <sheetName val="Exempt Income"/>
      <sheetName val="Depreciation workings"/>
      <sheetName val="LA-80IA"/>
      <sheetName val="MAT (March 07)"/>
      <sheetName val="MAT Credit"/>
      <sheetName val="CAPEX Details"/>
      <sheetName val="XREF"/>
      <sheetName val="Tickmarks"/>
      <sheetName val="Depr_Mar"/>
      <sheetName val="Capitalisation"/>
      <sheetName val="PBT"/>
      <sheetName val="Foreign Exch Gain"/>
      <sheetName val="FBT"/>
      <sheetName val="def tax 08"/>
      <sheetName val="Actual Tax Depreciation Wkg."/>
      <sheetName val="CAPEX Summar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 sheetId="11" refreshError="1"/>
      <sheetData sheetId="12"/>
      <sheetData sheetId="13"/>
      <sheetData sheetId="14" refreshError="1"/>
      <sheetData sheetId="15" refreshError="1"/>
      <sheetData sheetId="16"/>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input"/>
      <sheetName val="Daily report"/>
      <sheetName val="OCM2"/>
      <sheetName val="OCM4"/>
      <sheetName val="OCM1"/>
      <sheetName val="OCM3"/>
      <sheetName val="OCM5"/>
      <sheetName val="OCM7"/>
      <sheetName val="INDEX"/>
      <sheetName val="OCM6"/>
      <sheetName val="highlight"/>
      <sheetName val="water"/>
      <sheetName val="AWARD"/>
      <sheetName val="CE"/>
      <sheetName val="hrawd"/>
      <sheetName val="04REL"/>
      <sheetName val="Daily_input"/>
      <sheetName val="Daily_report"/>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sheetData sheetId="17"/>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견적서(제출용)"/>
      <sheetName val="견적원가"/>
      <sheetName val="견적기준"/>
      <sheetName val="RATE"/>
      <sheetName val="견적서"/>
      <sheetName val="Sep WorkSheet"/>
      <sheetName val="MASTER"/>
      <sheetName val="Code"/>
      <sheetName val="1"/>
    </sheetNames>
    <sheetDataSet>
      <sheetData sheetId="0"/>
      <sheetData sheetId="1"/>
      <sheetData sheetId="2"/>
      <sheetData sheetId="3"/>
      <sheetData sheetId="4"/>
      <sheetData sheetId="5" refreshError="1"/>
      <sheetData sheetId="6" refreshError="1"/>
      <sheetData sheetId="7" refreshError="1"/>
      <sheetData sheetId="8"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규격"/>
      <sheetName val="표준"/>
      <sheetName val="재료조서DB"/>
      <sheetName val="재료조서"/>
      <sheetName val="자동필터(토탈)"/>
      <sheetName val="자동필터(앵글)"/>
      <sheetName val="자동필터(볼트,플레이트)"/>
      <sheetName val="200 X 20"/>
      <sheetName val="Sheet3"/>
      <sheetName val="피벗"/>
      <sheetName val="200_X_20"/>
      <sheetName val="견적기준"/>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기준표"/>
      <sheetName val="44-UBOLT"/>
      <sheetName val="44-STRAP"/>
      <sheetName val="46TYPE"/>
      <sheetName val="EYE-PLATE"/>
    </sheetNames>
    <sheetDataSet>
      <sheetData sheetId="0" refreshError="1">
        <row r="1">
          <cell r="A1" t="str">
            <v>구분</v>
          </cell>
          <cell r="B1" t="str">
            <v>단가</v>
          </cell>
          <cell r="C1" t="str">
            <v>단가 기준</v>
          </cell>
        </row>
        <row r="2">
          <cell r="A2" t="str">
            <v>A36</v>
          </cell>
          <cell r="B2">
            <v>450</v>
          </cell>
          <cell r="C2" t="str">
            <v>KG당 단가</v>
          </cell>
        </row>
        <row r="3">
          <cell r="A3" t="str">
            <v>A387-11</v>
          </cell>
          <cell r="B3">
            <v>2200</v>
          </cell>
          <cell r="C3" t="str">
            <v>KG당 단가</v>
          </cell>
        </row>
        <row r="4">
          <cell r="A4" t="str">
            <v>A387-22</v>
          </cell>
          <cell r="B4">
            <v>2200</v>
          </cell>
          <cell r="C4" t="str">
            <v>KG당 단가</v>
          </cell>
        </row>
        <row r="5">
          <cell r="A5" t="str">
            <v>A516-70</v>
          </cell>
          <cell r="B5">
            <v>550</v>
          </cell>
          <cell r="C5" t="str">
            <v>KG당 단가</v>
          </cell>
        </row>
      </sheetData>
      <sheetData sheetId="1" refreshError="1"/>
      <sheetData sheetId="2" refreshError="1"/>
      <sheetData sheetId="3" refreshError="1"/>
      <sheetData sheetId="4"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FURNACE현설내역"/>
      <sheetName val=" FURNACE현설"/>
      <sheetName val="furnace-equip."/>
    </sheetNames>
    <sheetDataSet>
      <sheetData sheetId="0" refreshError="1"/>
      <sheetData sheetId="1" refreshError="1"/>
      <sheetData sheetId="2" refreshError="1">
        <row r="1">
          <cell r="B1" t="str">
            <v>COST BREAKDOWN SHEET</v>
          </cell>
        </row>
        <row r="2">
          <cell r="A2" t="str">
            <v>AREA: FURNACE AREA</v>
          </cell>
        </row>
        <row r="3">
          <cell r="A3" t="str">
            <v>DESCRIPTION</v>
          </cell>
          <cell r="B3" t="str">
            <v>UNIT</v>
          </cell>
          <cell r="C3" t="str">
            <v>Q'TY</v>
          </cell>
          <cell r="D3" t="str">
            <v xml:space="preserve">     MAT'L COST</v>
          </cell>
          <cell r="F3" t="str">
            <v xml:space="preserve">  LABOR COST</v>
          </cell>
          <cell r="H3" t="str">
            <v xml:space="preserve">     C/EQUIP COST</v>
          </cell>
          <cell r="J3" t="str">
            <v xml:space="preserve">    TOTAL</v>
          </cell>
          <cell r="K3">
            <v>0</v>
          </cell>
        </row>
        <row r="4">
          <cell r="D4" t="str">
            <v>U/PRICE</v>
          </cell>
          <cell r="E4" t="str">
            <v>AMOUNT</v>
          </cell>
          <cell r="F4" t="str">
            <v>U/PRICE</v>
          </cell>
          <cell r="G4" t="str">
            <v>AMOUNT</v>
          </cell>
          <cell r="H4" t="str">
            <v>U/PRICE</v>
          </cell>
          <cell r="I4" t="str">
            <v>AMOUNT</v>
          </cell>
          <cell r="J4" t="str">
            <v>U/PRICE</v>
          </cell>
          <cell r="K4" t="str">
            <v>AMOUNT</v>
          </cell>
        </row>
        <row r="5">
          <cell r="A5" t="str">
            <v>A. EQUIPMENT STRUCTURE</v>
          </cell>
        </row>
        <row r="6">
          <cell r="A6" t="str">
            <v xml:space="preserve"> 1)MAIN STRUCTURE</v>
          </cell>
          <cell r="B6" t="str">
            <v>TON</v>
          </cell>
          <cell r="C6">
            <v>41</v>
          </cell>
        </row>
        <row r="7">
          <cell r="A7" t="str">
            <v xml:space="preserve"> 2)PLATFORM &amp; STAIR (C/S)</v>
          </cell>
          <cell r="B7" t="str">
            <v>TON</v>
          </cell>
          <cell r="C7">
            <v>2</v>
          </cell>
          <cell r="H7">
            <v>0</v>
          </cell>
          <cell r="I7">
            <v>0</v>
          </cell>
        </row>
        <row r="8">
          <cell r="A8" t="str">
            <v xml:space="preserve"> 3)PLATFORM &amp; STAIR (SUS)</v>
          </cell>
          <cell r="B8" t="str">
            <v>TON</v>
          </cell>
          <cell r="C8">
            <v>2</v>
          </cell>
          <cell r="F8">
            <v>0</v>
          </cell>
          <cell r="H8">
            <v>0</v>
          </cell>
          <cell r="I8">
            <v>0</v>
          </cell>
        </row>
        <row r="9">
          <cell r="A9" t="str">
            <v xml:space="preserve"> 4)Handrail &amp; ladder fab.&amp;install.</v>
          </cell>
          <cell r="B9" t="str">
            <v>TON</v>
          </cell>
          <cell r="C9">
            <v>3</v>
          </cell>
        </row>
        <row r="10">
          <cell r="A10" t="str">
            <v xml:space="preserve"> 5)Grating install.</v>
          </cell>
          <cell r="B10" t="str">
            <v>TON</v>
          </cell>
          <cell r="C10">
            <v>5</v>
          </cell>
        </row>
        <row r="11">
          <cell r="A11" t="str">
            <v xml:space="preserve"> 6)H.T bolt,nut &amp; machine bolt,nut</v>
          </cell>
          <cell r="B11" t="str">
            <v>TON</v>
          </cell>
          <cell r="C11">
            <v>53</v>
          </cell>
        </row>
        <row r="12">
          <cell r="A12" t="str">
            <v>Sub-total</v>
          </cell>
          <cell r="C12">
            <v>53</v>
          </cell>
          <cell r="F12">
            <v>0</v>
          </cell>
          <cell r="H12">
            <v>0</v>
          </cell>
          <cell r="I12">
            <v>0</v>
          </cell>
        </row>
        <row r="13">
          <cell r="F13">
            <v>0</v>
          </cell>
          <cell r="H13">
            <v>0</v>
          </cell>
          <cell r="I13">
            <v>0</v>
          </cell>
        </row>
        <row r="14">
          <cell r="F14">
            <v>0</v>
          </cell>
          <cell r="H14">
            <v>0</v>
          </cell>
          <cell r="I14">
            <v>0</v>
          </cell>
        </row>
        <row r="15">
          <cell r="A15" t="str">
            <v>B.PLATFORM &amp; LADDER FOR TOWER(SUS)</v>
          </cell>
          <cell r="F15">
            <v>0</v>
          </cell>
          <cell r="H15">
            <v>0</v>
          </cell>
          <cell r="I15">
            <v>0</v>
          </cell>
        </row>
        <row r="16">
          <cell r="A16" t="str">
            <v xml:space="preserve"> 1)PLATFORM &amp; STAIR</v>
          </cell>
          <cell r="B16" t="str">
            <v>TON</v>
          </cell>
          <cell r="C16">
            <v>3</v>
          </cell>
          <cell r="F16">
            <v>0</v>
          </cell>
          <cell r="H16">
            <v>0</v>
          </cell>
          <cell r="I16">
            <v>0</v>
          </cell>
        </row>
        <row r="17">
          <cell r="A17" t="str">
            <v xml:space="preserve"> 2)HANDRAIL &amp; LADDER</v>
          </cell>
          <cell r="B17" t="str">
            <v>TON</v>
          </cell>
          <cell r="C17">
            <v>3</v>
          </cell>
          <cell r="F17">
            <v>0</v>
          </cell>
          <cell r="H17">
            <v>0</v>
          </cell>
          <cell r="I17">
            <v>0</v>
          </cell>
        </row>
        <row r="18">
          <cell r="A18" t="str">
            <v xml:space="preserve"> 3)H.T bolt,nut &amp; machine bolt,nut</v>
          </cell>
          <cell r="B18" t="str">
            <v>TON</v>
          </cell>
          <cell r="C18">
            <v>6</v>
          </cell>
        </row>
        <row r="19">
          <cell r="A19" t="str">
            <v>Sub-total</v>
          </cell>
          <cell r="C19">
            <v>6</v>
          </cell>
          <cell r="F19">
            <v>0</v>
          </cell>
          <cell r="H19">
            <v>0</v>
          </cell>
          <cell r="I19">
            <v>0</v>
          </cell>
        </row>
        <row r="20">
          <cell r="F20">
            <v>0</v>
          </cell>
          <cell r="H20">
            <v>0</v>
          </cell>
          <cell r="I20">
            <v>0</v>
          </cell>
        </row>
        <row r="21">
          <cell r="H21">
            <v>0</v>
          </cell>
          <cell r="I21">
            <v>0</v>
          </cell>
        </row>
        <row r="22">
          <cell r="A22" t="str">
            <v>GRAND TOTAL</v>
          </cell>
          <cell r="C22">
            <v>59</v>
          </cell>
          <cell r="H22">
            <v>0</v>
          </cell>
          <cell r="I22">
            <v>0</v>
          </cell>
        </row>
      </sheetData>
      <sheetData sheetId="3"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예제"/>
      <sheetName val="Sheet2"/>
      <sheetName val="Sheet3"/>
      <sheetName val=" FURNACE현설"/>
      <sheetName val="sch 5-8"/>
      <sheetName val="Balance Sheet "/>
      <sheetName val="Charts"/>
      <sheetName val="기준표"/>
      <sheetName val="Fixed Assets"/>
      <sheetName val="XREF"/>
    </sheetNames>
    <sheetDataSet>
      <sheetData sheetId="0" refreshError="1">
        <row r="1">
          <cell r="C1" t="str">
            <v>농산물</v>
          </cell>
        </row>
        <row r="15">
          <cell r="A15">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B-MAN1"/>
    </sheetNames>
    <sheetDataSet>
      <sheetData sheetId="0" refreshError="1">
        <row r="40">
          <cell r="D40" t="str">
            <v>96.05.26</v>
          </cell>
          <cell r="H40">
            <v>35172</v>
          </cell>
          <cell r="K40">
            <v>0</v>
          </cell>
          <cell r="T40" t="str">
            <v>LCL</v>
          </cell>
          <cell r="U40" t="str">
            <v>Mongkol</v>
          </cell>
          <cell r="X40">
            <v>35440</v>
          </cell>
          <cell r="AG40">
            <v>35198</v>
          </cell>
          <cell r="AW40">
            <v>35093</v>
          </cell>
        </row>
        <row r="41">
          <cell r="D41" t="str">
            <v>LCL</v>
          </cell>
          <cell r="E41" t="str">
            <v>Somsak</v>
          </cell>
          <cell r="G41">
            <v>0</v>
          </cell>
          <cell r="K41">
            <v>0</v>
          </cell>
          <cell r="P41" t="str">
            <v>Tank / Lining</v>
          </cell>
          <cell r="T41">
            <v>35363</v>
          </cell>
          <cell r="X41" t="str">
            <v>LCL</v>
          </cell>
          <cell r="Y41" t="str">
            <v>Prasit</v>
          </cell>
          <cell r="AG41" t="str">
            <v>TCN</v>
          </cell>
          <cell r="AH41" t="str">
            <v>O. Gomez</v>
          </cell>
          <cell r="AW41" t="str">
            <v>LCL</v>
          </cell>
          <cell r="AX41" t="str">
            <v>Manusak</v>
          </cell>
        </row>
        <row r="42">
          <cell r="D42" t="str">
            <v>95.12.25</v>
          </cell>
          <cell r="G42">
            <v>0</v>
          </cell>
          <cell r="H42" t="str">
            <v>Q   /   S</v>
          </cell>
          <cell r="K42">
            <v>0</v>
          </cell>
          <cell r="P42" t="str">
            <v>GJ</v>
          </cell>
          <cell r="Q42" t="str">
            <v>강 민 형</v>
          </cell>
          <cell r="T42" t="str">
            <v>LCL</v>
          </cell>
          <cell r="U42" t="str">
            <v>Nattaphong</v>
          </cell>
          <cell r="X42">
            <v>35440</v>
          </cell>
          <cell r="AG42">
            <v>35183</v>
          </cell>
          <cell r="AW42">
            <v>35268</v>
          </cell>
        </row>
        <row r="43">
          <cell r="D43" t="str">
            <v>LCL</v>
          </cell>
          <cell r="E43" t="str">
            <v>Samart</v>
          </cell>
          <cell r="G43">
            <v>0</v>
          </cell>
          <cell r="H43" t="str">
            <v>TCN</v>
          </cell>
          <cell r="I43" t="str">
            <v xml:space="preserve">  S. ROWE</v>
          </cell>
          <cell r="K43">
            <v>0</v>
          </cell>
          <cell r="P43" t="str">
            <v>95.03.08 / 95.09.14</v>
          </cell>
          <cell r="T43">
            <v>35366</v>
          </cell>
          <cell r="X43" t="str">
            <v>LCL</v>
          </cell>
          <cell r="Y43" t="str">
            <v>Chalit</v>
          </cell>
          <cell r="AG43" t="str">
            <v>TCN</v>
          </cell>
          <cell r="AH43" t="str">
            <v>Rozario</v>
          </cell>
          <cell r="AW43" t="str">
            <v>LCL</v>
          </cell>
          <cell r="AX43" t="str">
            <v>Mankiet</v>
          </cell>
        </row>
        <row r="44">
          <cell r="D44" t="str">
            <v>96.02.05</v>
          </cell>
          <cell r="G44">
            <v>0</v>
          </cell>
          <cell r="H44">
            <v>34895</v>
          </cell>
          <cell r="K44">
            <v>0</v>
          </cell>
          <cell r="P44" t="str">
            <v>LCL</v>
          </cell>
          <cell r="Q44" t="str">
            <v>Prong</v>
          </cell>
          <cell r="T44" t="str">
            <v>TCN</v>
          </cell>
          <cell r="U44" t="str">
            <v>A. Tiongo</v>
          </cell>
          <cell r="X44">
            <v>35445</v>
          </cell>
          <cell r="AG44">
            <v>35258</v>
          </cell>
          <cell r="AW44">
            <v>35205</v>
          </cell>
        </row>
        <row r="45">
          <cell r="D45" t="str">
            <v>LCL</v>
          </cell>
          <cell r="E45" t="str">
            <v>Sathian</v>
          </cell>
          <cell r="G45">
            <v>0</v>
          </cell>
          <cell r="K45">
            <v>0</v>
          </cell>
          <cell r="P45">
            <v>35044</v>
          </cell>
          <cell r="T45">
            <v>35357</v>
          </cell>
          <cell r="X45" t="str">
            <v>LCL</v>
          </cell>
          <cell r="Y45" t="str">
            <v>Kritsada</v>
          </cell>
          <cell r="AG45" t="str">
            <v>TCN</v>
          </cell>
          <cell r="AH45" t="str">
            <v>E. Magadia</v>
          </cell>
          <cell r="AW45" t="str">
            <v>LCL</v>
          </cell>
          <cell r="AX45" t="str">
            <v>Phichet</v>
          </cell>
        </row>
        <row r="46">
          <cell r="D46">
            <v>35328</v>
          </cell>
          <cell r="G46">
            <v>0</v>
          </cell>
          <cell r="K46">
            <v>0</v>
          </cell>
          <cell r="P46" t="str">
            <v>LCL</v>
          </cell>
          <cell r="Q46" t="str">
            <v>Swan</v>
          </cell>
          <cell r="T46" t="str">
            <v>LCL</v>
          </cell>
          <cell r="U46" t="str">
            <v>Suchart</v>
          </cell>
          <cell r="X46">
            <v>35450</v>
          </cell>
          <cell r="AG46">
            <v>35469</v>
          </cell>
          <cell r="AW46">
            <v>35115</v>
          </cell>
        </row>
        <row r="47">
          <cell r="G47">
            <v>0</v>
          </cell>
          <cell r="K47">
            <v>0</v>
          </cell>
          <cell r="P47">
            <v>35464</v>
          </cell>
          <cell r="T47">
            <v>35450</v>
          </cell>
          <cell r="X47" t="str">
            <v>LCL</v>
          </cell>
          <cell r="Y47" t="str">
            <v>Pasathorn</v>
          </cell>
          <cell r="AG47" t="str">
            <v>TCN</v>
          </cell>
          <cell r="AH47" t="str">
            <v>M. Clay</v>
          </cell>
          <cell r="AW47" t="str">
            <v>LCL</v>
          </cell>
          <cell r="AX47" t="str">
            <v>Watcharin</v>
          </cell>
        </row>
        <row r="48">
          <cell r="D48" t="str">
            <v>業           務</v>
          </cell>
          <cell r="G48">
            <v>0</v>
          </cell>
          <cell r="K48">
            <v>0</v>
          </cell>
          <cell r="X48">
            <v>35457</v>
          </cell>
          <cell r="AG48">
            <v>35247</v>
          </cell>
          <cell r="AW48">
            <v>35443</v>
          </cell>
        </row>
        <row r="49">
          <cell r="D49" t="str">
            <v>DR</v>
          </cell>
          <cell r="E49" t="str">
            <v>김 주 범</v>
          </cell>
          <cell r="G49">
            <v>0</v>
          </cell>
          <cell r="K49">
            <v>0</v>
          </cell>
          <cell r="P49" t="str">
            <v>保溫 / 途裝</v>
          </cell>
          <cell r="X49" t="str">
            <v>LCL</v>
          </cell>
          <cell r="Y49" t="str">
            <v>Somsak</v>
          </cell>
          <cell r="AW49" t="str">
            <v>LCL</v>
          </cell>
          <cell r="AX49" t="str">
            <v>Thanin</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 02 Est.at Existing Tariff"/>
      <sheetName val="Financial Estimates"/>
      <sheetName val="Sheet1"/>
      <sheetName val="Sheet2"/>
      <sheetName val="Sheet3"/>
      <sheetName val="#REF"/>
      <sheetName val="ins spares"/>
    </sheetNames>
    <sheetDataSet>
      <sheetData sheetId="0" refreshError="1"/>
      <sheetData sheetId="1" refreshError="1">
        <row r="8">
          <cell r="A8" t="str">
            <v>AI.</v>
          </cell>
          <cell r="B8" t="str">
            <v>ENERGY DISTRIBUTED(MUS)</v>
          </cell>
        </row>
        <row r="10">
          <cell r="A10">
            <v>1</v>
          </cell>
          <cell r="B10" t="str">
            <v>SALES TO TPC'S CONSUMERS</v>
          </cell>
        </row>
        <row r="11">
          <cell r="B11" t="str">
            <v>TEXTILES</v>
          </cell>
        </row>
        <row r="12">
          <cell r="B12" t="str">
            <v>HT INDUSTRIES</v>
          </cell>
        </row>
        <row r="13">
          <cell r="B13" t="str">
            <v>HT COMMERCIAL</v>
          </cell>
        </row>
        <row r="14">
          <cell r="B14" t="str">
            <v>LT INDUSTRIES (SINGLE PART) (incl.Resi.)</v>
          </cell>
        </row>
        <row r="15">
          <cell r="B15" t="str">
            <v>LT INDUSTRIES (TWO PART)</v>
          </cell>
        </row>
        <row r="16">
          <cell r="B16" t="str">
            <v>LT COMMERCIAL (SINGLE PART)</v>
          </cell>
        </row>
        <row r="17">
          <cell r="B17" t="str">
            <v>LT COMMERCIAL (TWO PART)</v>
          </cell>
        </row>
        <row r="18">
          <cell r="B18" t="str">
            <v>RESIDENTIAL</v>
          </cell>
        </row>
        <row r="19">
          <cell r="B19" t="str">
            <v>RAILWAYS(INCL.INTERCHANGE)</v>
          </cell>
        </row>
        <row r="21">
          <cell r="B21" t="str">
            <v>TOTAL (DIRECT CONSUMERS)</v>
          </cell>
        </row>
        <row r="23">
          <cell r="B23" t="str">
            <v>BEST</v>
          </cell>
        </row>
        <row r="24">
          <cell r="B24" t="str">
            <v>BSES (22 KV/ 33 KV SUPPLY)</v>
          </cell>
        </row>
        <row r="25">
          <cell r="B25" t="str">
            <v>BSES (220 KV INTERCONNECTION)</v>
          </cell>
        </row>
        <row r="26">
          <cell r="B26" t="str">
            <v>BSES (TOTAL)</v>
          </cell>
        </row>
        <row r="28">
          <cell r="B28" t="str">
            <v>BEST &amp; BSES- TOTAL</v>
          </cell>
        </row>
        <row r="30">
          <cell r="B30" t="str">
            <v>TOTAL SALES</v>
          </cell>
        </row>
        <row r="33">
          <cell r="A33">
            <v>2</v>
          </cell>
          <cell r="B33" t="str">
            <v>ENERGY ASSISTANCE TO MSEB</v>
          </cell>
        </row>
        <row r="35">
          <cell r="A35">
            <v>3</v>
          </cell>
          <cell r="B35" t="str">
            <v>SALES TO OTHER STATE UTILITIES</v>
          </cell>
        </row>
        <row r="37">
          <cell r="A37">
            <v>4</v>
          </cell>
          <cell r="B37" t="str">
            <v>TOTAL SALES INCLUDING MSEB AND OTHER STATES</v>
          </cell>
        </row>
        <row r="39">
          <cell r="A39">
            <v>5</v>
          </cell>
          <cell r="B39" t="str">
            <v>22 KV WHEELING FOR MSEB</v>
          </cell>
        </row>
        <row r="41">
          <cell r="A41">
            <v>6</v>
          </cell>
          <cell r="B41" t="str">
            <v xml:space="preserve">TOTAL ENERGY DISTRIBUTED </v>
          </cell>
        </row>
        <row r="43">
          <cell r="A43" t="str">
            <v>AII.</v>
          </cell>
          <cell r="B43" t="str">
            <v>RKVAH (MUs)</v>
          </cell>
        </row>
        <row r="45">
          <cell r="B45" t="str">
            <v>TEXTILES</v>
          </cell>
        </row>
        <row r="46">
          <cell r="B46" t="str">
            <v>HT INDUSTRIES</v>
          </cell>
        </row>
        <row r="47">
          <cell r="B47" t="str">
            <v>HT COMMERCIAL</v>
          </cell>
        </row>
        <row r="48">
          <cell r="B48" t="str">
            <v>LT INDUSTRIES (TWO PART TARIFF)</v>
          </cell>
        </row>
        <row r="49">
          <cell r="B49" t="str">
            <v>LT COMMERCIAL (TWO PART TARIFF)</v>
          </cell>
        </row>
        <row r="50">
          <cell r="B50" t="str">
            <v>RAILWAYS(INCL.INTERCHANGE)</v>
          </cell>
        </row>
        <row r="52">
          <cell r="B52" t="str">
            <v>TOTAL TEX./IND./COMM/RLYS</v>
          </cell>
        </row>
        <row r="54">
          <cell r="B54" t="str">
            <v>BEST</v>
          </cell>
        </row>
        <row r="55">
          <cell r="B55" t="str">
            <v>BSES (22 KV)</v>
          </cell>
        </row>
        <row r="56">
          <cell r="B56" t="str">
            <v>BSES (220 KV)</v>
          </cell>
        </row>
        <row r="58">
          <cell r="B58" t="str">
            <v>TOTAL</v>
          </cell>
        </row>
        <row r="61">
          <cell r="A61" t="str">
            <v>AII.</v>
          </cell>
          <cell r="B61" t="str">
            <v>MAXIMUM DEMAND (MVA)</v>
          </cell>
        </row>
        <row r="63">
          <cell r="B63" t="str">
            <v>TEXTILES</v>
          </cell>
        </row>
        <row r="64">
          <cell r="B64" t="str">
            <v>HT INDUSTRIES</v>
          </cell>
        </row>
        <row r="65">
          <cell r="B65" t="str">
            <v>HT COMMERCIAL</v>
          </cell>
        </row>
        <row r="66">
          <cell r="B66" t="str">
            <v>LT INDUSTRIES (TWO PART TARIFF)</v>
          </cell>
        </row>
        <row r="67">
          <cell r="B67" t="str">
            <v>LT COMMERCIAL (TWO PART TARIFF)</v>
          </cell>
        </row>
        <row r="68">
          <cell r="B68" t="str">
            <v>RAILWAYS(INCL.INTERCHANGE)</v>
          </cell>
        </row>
        <row r="70">
          <cell r="B70" t="str">
            <v>TOTAL (DIRECT CONSUMERS)</v>
          </cell>
        </row>
        <row r="72">
          <cell r="B72" t="str">
            <v>BEST</v>
          </cell>
        </row>
        <row r="73">
          <cell r="B73" t="str">
            <v>BSES (22 KV/ 33 KV SUPPLY)</v>
          </cell>
        </row>
        <row r="75">
          <cell r="B75" t="str">
            <v>TOTAL</v>
          </cell>
        </row>
        <row r="78">
          <cell r="A78" t="str">
            <v>B.</v>
          </cell>
          <cell r="B78" t="str">
            <v>TPC GENERATION(MUS)</v>
          </cell>
        </row>
        <row r="80">
          <cell r="A80">
            <v>1</v>
          </cell>
          <cell r="B80" t="str">
            <v>HYDRO</v>
          </cell>
        </row>
        <row r="81">
          <cell r="B81" t="str">
            <v>FROM NATURAL SOURCE OF WATER</v>
          </cell>
        </row>
        <row r="82">
          <cell r="B82" t="str">
            <v>PEAKING ENERGY FROM PUMPED WATER</v>
          </cell>
        </row>
        <row r="83">
          <cell r="B83" t="str">
            <v>TOTAL</v>
          </cell>
        </row>
        <row r="85">
          <cell r="A85">
            <v>2</v>
          </cell>
          <cell r="B85" t="str">
            <v>THERMAL</v>
          </cell>
        </row>
        <row r="86">
          <cell r="B86" t="str">
            <v>UNIT NO.4</v>
          </cell>
        </row>
        <row r="87">
          <cell r="B87" t="str">
            <v>UNIT NO.5</v>
          </cell>
        </row>
        <row r="88">
          <cell r="B88" t="str">
            <v>UNIT NO.6</v>
          </cell>
        </row>
        <row r="89">
          <cell r="B89" t="str">
            <v>UNIT NOS.7 AS GT</v>
          </cell>
        </row>
        <row r="90">
          <cell r="B90" t="str">
            <v>UNIT NO.7</v>
          </cell>
        </row>
        <row r="92">
          <cell r="B92" t="str">
            <v>TOTAL THERMAL GENERATION</v>
          </cell>
        </row>
        <row r="95">
          <cell r="A95">
            <v>4</v>
          </cell>
          <cell r="B95" t="str">
            <v>TOTAL TPC GENERATION</v>
          </cell>
        </row>
        <row r="97">
          <cell r="A97">
            <v>5</v>
          </cell>
          <cell r="B97" t="str">
            <v>AUXILIARY CONSUMPTION</v>
          </cell>
        </row>
        <row r="98">
          <cell r="A98">
            <v>6</v>
          </cell>
          <cell r="B98" t="str">
            <v>ENERGY REQ.FOR PUMPING</v>
          </cell>
        </row>
        <row r="100">
          <cell r="A100">
            <v>6</v>
          </cell>
          <cell r="B100" t="str">
            <v>NET TPC GENERATION</v>
          </cell>
        </row>
        <row r="102">
          <cell r="A102" t="str">
            <v>C.</v>
          </cell>
          <cell r="B102" t="str">
            <v>PURCHASES FROM MSEB(MUS)</v>
          </cell>
        </row>
        <row r="104">
          <cell r="A104">
            <v>1</v>
          </cell>
          <cell r="B104" t="str">
            <v xml:space="preserve">T&amp;D LOSSES </v>
          </cell>
        </row>
        <row r="105">
          <cell r="A105">
            <v>2</v>
          </cell>
          <cell r="B105" t="str">
            <v>EX BUS REQUIREMENT</v>
          </cell>
        </row>
        <row r="106">
          <cell r="A106">
            <v>3</v>
          </cell>
          <cell r="B106" t="str">
            <v>GROSS PURCHASE</v>
          </cell>
        </row>
        <row r="107">
          <cell r="A107">
            <v>4</v>
          </cell>
          <cell r="B107" t="str">
            <v>22 KV WHEELING FOR MSEB</v>
          </cell>
        </row>
        <row r="108">
          <cell r="A108">
            <v>5</v>
          </cell>
          <cell r="B108" t="str">
            <v>NET PURCHASE</v>
          </cell>
        </row>
        <row r="271">
          <cell r="B271" t="str">
            <v>PURCHASE MVA /MONTH</v>
          </cell>
          <cell r="D271">
            <v>550</v>
          </cell>
        </row>
        <row r="273">
          <cell r="B273" t="str">
            <v>MONTHLY FIXED WLG.CHRGS.RECOVERABLE(Rs.LACS)</v>
          </cell>
          <cell r="D273">
            <v>67.11</v>
          </cell>
        </row>
        <row r="274">
          <cell r="B274" t="str">
            <v>MONTHLY FIXED WLG.CHARGES PAYABLE(Rs.LACS)</v>
          </cell>
          <cell r="D274">
            <v>67.11</v>
          </cell>
        </row>
        <row r="276">
          <cell r="B276" t="str">
            <v>% OF (U#5 + U#6+U#7) POWER WHEELED</v>
          </cell>
          <cell r="D276">
            <v>26</v>
          </cell>
        </row>
        <row r="278">
          <cell r="B278" t="str">
            <v>ENERGY LOSS IN WHEELING MSEB'S POWER (%)</v>
          </cell>
          <cell r="D278">
            <v>3.09</v>
          </cell>
        </row>
        <row r="279">
          <cell r="B279" t="str">
            <v>ENERGY LOSS IN WHEELING TPC'S POWER (%)</v>
          </cell>
          <cell r="D279">
            <v>2</v>
          </cell>
        </row>
        <row r="281">
          <cell r="B281" t="str">
            <v>PURCHASE ENERGY RATE (P/U)</v>
          </cell>
          <cell r="D281">
            <v>290</v>
          </cell>
        </row>
        <row r="282">
          <cell r="B282" t="str">
            <v>PURCHASE FAC RATE (P/U)</v>
          </cell>
          <cell r="D282">
            <v>0</v>
          </cell>
        </row>
        <row r="283">
          <cell r="B283" t="str">
            <v>ENERGY RATE FOR SALE TO MSEB (P/U)</v>
          </cell>
          <cell r="D283">
            <v>125.9</v>
          </cell>
        </row>
        <row r="284">
          <cell r="B284" t="str">
            <v>ENERGY RATE FOR SALE TO INTER STATE  UTILITIES (P/U)</v>
          </cell>
          <cell r="D284">
            <v>125.9</v>
          </cell>
        </row>
        <row r="285">
          <cell r="B285" t="str">
            <v>FAC RATE FOR SALE TO INTER STATE  UTILITIES (P/U)</v>
          </cell>
          <cell r="D285">
            <v>124.1</v>
          </cell>
        </row>
        <row r="286">
          <cell r="B286" t="str">
            <v>FAC RATE FOR SALE TO MSEB (P/U)</v>
          </cell>
          <cell r="D286">
            <v>124.1</v>
          </cell>
        </row>
        <row r="287">
          <cell r="B287" t="str">
            <v>PURCHASE MD RATE (Rs./KVA/MONTH)</v>
          </cell>
          <cell r="D287">
            <v>600</v>
          </cell>
        </row>
        <row r="289">
          <cell r="B289" t="str">
            <v>FUEL COST (Rs./MT) :</v>
          </cell>
        </row>
        <row r="290">
          <cell r="B290" t="str">
            <v>COAL</v>
          </cell>
          <cell r="D290">
            <v>2875</v>
          </cell>
        </row>
        <row r="291">
          <cell r="B291" t="str">
            <v>GAS</v>
          </cell>
          <cell r="D291">
            <v>4200</v>
          </cell>
        </row>
        <row r="292">
          <cell r="B292" t="str">
            <v>LSHS/ LSWR</v>
          </cell>
          <cell r="D292">
            <v>9760</v>
          </cell>
        </row>
        <row r="293">
          <cell r="B293" t="str">
            <v>-</v>
          </cell>
          <cell r="C293" t="str">
            <v>-</v>
          </cell>
          <cell r="D293" t="str">
            <v>-</v>
          </cell>
        </row>
        <row r="295">
          <cell r="B295" t="str">
            <v>Tariff :</v>
          </cell>
        </row>
        <row r="296">
          <cell r="C296" t="str">
            <v>MD</v>
          </cell>
          <cell r="D296" t="str">
            <v>RKVAH</v>
          </cell>
        </row>
        <row r="297">
          <cell r="C297" t="str">
            <v>(Rs./KVA)</v>
          </cell>
          <cell r="D297" t="str">
            <v>(P./RKVAH)</v>
          </cell>
        </row>
        <row r="298">
          <cell r="B298" t="str">
            <v>TEXTILES</v>
          </cell>
          <cell r="C298">
            <v>170</v>
          </cell>
          <cell r="D298">
            <v>0</v>
          </cell>
        </row>
        <row r="299">
          <cell r="B299" t="str">
            <v>HT INDUSTRIES</v>
          </cell>
          <cell r="C299">
            <v>170</v>
          </cell>
          <cell r="D299">
            <v>0</v>
          </cell>
        </row>
        <row r="300">
          <cell r="B300" t="str">
            <v>HT COMMERCIAL</v>
          </cell>
          <cell r="C300">
            <v>170</v>
          </cell>
          <cell r="D300">
            <v>0</v>
          </cell>
        </row>
        <row r="301">
          <cell r="B301" t="str">
            <v>LT INDUSTRIES (TWO PART TARIFF)</v>
          </cell>
          <cell r="C301">
            <v>175</v>
          </cell>
          <cell r="D301">
            <v>0</v>
          </cell>
        </row>
        <row r="302">
          <cell r="B302" t="str">
            <v>LT COMMERCIAL (TWO PART TARIFF)</v>
          </cell>
          <cell r="C302">
            <v>175</v>
          </cell>
          <cell r="D302">
            <v>0</v>
          </cell>
        </row>
        <row r="303">
          <cell r="B303" t="str">
            <v>RAILWAYS</v>
          </cell>
          <cell r="C303">
            <v>170</v>
          </cell>
          <cell r="D303">
            <v>0</v>
          </cell>
        </row>
        <row r="304">
          <cell r="B304" t="str">
            <v>BEST</v>
          </cell>
          <cell r="C304">
            <v>170</v>
          </cell>
          <cell r="D304">
            <v>0</v>
          </cell>
        </row>
        <row r="305">
          <cell r="B305" t="str">
            <v>BSES (22/33 KV)</v>
          </cell>
          <cell r="C305">
            <v>200</v>
          </cell>
          <cell r="D305">
            <v>0</v>
          </cell>
        </row>
        <row r="306">
          <cell r="B306" t="str">
            <v>BSES (220 KV)</v>
          </cell>
          <cell r="D306">
            <v>0</v>
          </cell>
        </row>
        <row r="307">
          <cell r="B307" t="str">
            <v>MSEB 22 KV</v>
          </cell>
          <cell r="D307">
            <v>0</v>
          </cell>
        </row>
        <row r="308">
          <cell r="B308" t="str">
            <v>ENERGY RATE (P/KWH) :</v>
          </cell>
        </row>
        <row r="309">
          <cell r="B309" t="str">
            <v>TEXTILES</v>
          </cell>
          <cell r="C309">
            <v>197</v>
          </cell>
        </row>
        <row r="310">
          <cell r="B310" t="str">
            <v>HT INDUSTRIES</v>
          </cell>
          <cell r="C310">
            <v>197</v>
          </cell>
        </row>
        <row r="311">
          <cell r="B311" t="str">
            <v>HT COMMERCIAL</v>
          </cell>
          <cell r="C311">
            <v>197</v>
          </cell>
        </row>
        <row r="312">
          <cell r="B312" t="str">
            <v>LT INDUSTRIES (SINGLE PART TARIFF)</v>
          </cell>
          <cell r="C312">
            <v>272</v>
          </cell>
        </row>
        <row r="313">
          <cell r="B313" t="str">
            <v>LT INDUSTRIES (TWO PART TARIFF)</v>
          </cell>
          <cell r="C313">
            <v>202</v>
          </cell>
        </row>
        <row r="314">
          <cell r="B314" t="str">
            <v>LT COMMERCIAL (SINGLE PART TARIFF)</v>
          </cell>
          <cell r="C314">
            <v>272</v>
          </cell>
        </row>
        <row r="315">
          <cell r="B315" t="str">
            <v>LT COMMERCIAL (TWO PART TARIFF)</v>
          </cell>
          <cell r="C315">
            <v>202</v>
          </cell>
        </row>
        <row r="316">
          <cell r="B316" t="str">
            <v>RESIDENTIAL</v>
          </cell>
          <cell r="C316">
            <v>212.75</v>
          </cell>
        </row>
        <row r="317">
          <cell r="B317" t="str">
            <v>RAILWAYS</v>
          </cell>
          <cell r="C317">
            <v>197</v>
          </cell>
        </row>
        <row r="318">
          <cell r="B318" t="str">
            <v>BEST</v>
          </cell>
          <cell r="C318">
            <v>177</v>
          </cell>
        </row>
        <row r="319">
          <cell r="B319" t="str">
            <v>BSES</v>
          </cell>
          <cell r="C319">
            <v>177</v>
          </cell>
        </row>
        <row r="320">
          <cell r="B320" t="str">
            <v>BSES 220 KV</v>
          </cell>
          <cell r="C320">
            <v>209</v>
          </cell>
        </row>
        <row r="321">
          <cell r="B321" t="str">
            <v>BASIC COST OF FUEL (Rs./MKCL)</v>
          </cell>
          <cell r="C321">
            <v>325</v>
          </cell>
        </row>
        <row r="322">
          <cell r="B322" t="str">
            <v>-</v>
          </cell>
        </row>
        <row r="323">
          <cell r="B323" t="str">
            <v>CALORIFIC VALUES (MKCL/MT) :</v>
          </cell>
        </row>
        <row r="324">
          <cell r="B324" t="str">
            <v>COAL</v>
          </cell>
          <cell r="C324">
            <v>5.1278223000000001</v>
          </cell>
        </row>
        <row r="325">
          <cell r="B325" t="str">
            <v>GAS</v>
          </cell>
          <cell r="C325">
            <v>13</v>
          </cell>
        </row>
        <row r="326">
          <cell r="B326" t="str">
            <v>LSHS/ LSWR</v>
          </cell>
          <cell r="C326">
            <v>10.5</v>
          </cell>
        </row>
        <row r="328">
          <cell r="B328" t="str">
            <v>HEAT RATES &amp; AUXILIARY CONSUMPTION</v>
          </cell>
          <cell r="C328" t="str">
            <v>HEAT RATE</v>
          </cell>
          <cell r="D328" t="str">
            <v>AUX.CONS.</v>
          </cell>
        </row>
        <row r="329">
          <cell r="C329" t="str">
            <v>MKCL/MU</v>
          </cell>
          <cell r="D329" t="str">
            <v>(%)</v>
          </cell>
        </row>
        <row r="330">
          <cell r="B330" t="str">
            <v>------------------------------------</v>
          </cell>
          <cell r="C330" t="str">
            <v>-</v>
          </cell>
          <cell r="D330" t="str">
            <v>-</v>
          </cell>
        </row>
        <row r="332">
          <cell r="B332" t="str">
            <v>UNIT NO.4</v>
          </cell>
          <cell r="C332">
            <v>2600</v>
          </cell>
          <cell r="D332">
            <v>10</v>
          </cell>
        </row>
        <row r="333">
          <cell r="B333" t="str">
            <v>UNIT NO.5</v>
          </cell>
          <cell r="C333">
            <v>2430</v>
          </cell>
          <cell r="D333">
            <v>5</v>
          </cell>
        </row>
        <row r="334">
          <cell r="B334" t="str">
            <v>UNIT NO.6</v>
          </cell>
          <cell r="C334">
            <v>2380</v>
          </cell>
          <cell r="D334">
            <v>4</v>
          </cell>
        </row>
        <row r="335">
          <cell r="B335" t="str">
            <v>UNIT NO.7 AS GT</v>
          </cell>
          <cell r="C335">
            <v>2850</v>
          </cell>
          <cell r="D335">
            <v>2.1</v>
          </cell>
        </row>
        <row r="336">
          <cell r="B336" t="str">
            <v>UNIT NO.7</v>
          </cell>
          <cell r="C336">
            <v>2000</v>
          </cell>
          <cell r="D336">
            <v>2</v>
          </cell>
        </row>
        <row r="337">
          <cell r="B337" t="str">
            <v>HYDRO</v>
          </cell>
          <cell r="D337">
            <v>0.5</v>
          </cell>
        </row>
        <row r="339">
          <cell r="B339" t="str">
            <v>TAXABLE SALES</v>
          </cell>
          <cell r="C339">
            <v>91</v>
          </cell>
          <cell r="D339" t="str">
            <v>%</v>
          </cell>
        </row>
        <row r="340">
          <cell r="B340" t="str">
            <v xml:space="preserve">TAX ON  SALE RATE </v>
          </cell>
          <cell r="C340">
            <v>15</v>
          </cell>
          <cell r="D340" t="str">
            <v>(P/KWH)</v>
          </cell>
        </row>
        <row r="342">
          <cell r="B342" t="str">
            <v>T T &amp; D LOSSES</v>
          </cell>
          <cell r="C342">
            <v>2.2999999999999998</v>
          </cell>
          <cell r="D342" t="str">
            <v>%</v>
          </cell>
        </row>
      </sheetData>
      <sheetData sheetId="2" refreshError="1"/>
      <sheetData sheetId="3" refreshError="1"/>
      <sheetData sheetId="4" refreshError="1"/>
      <sheetData sheetId="5" refreshError="1"/>
      <sheetData sheetId="6"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소화실적"/>
      <sheetName val="MOB-MAN1"/>
      <sheetName val="XREF"/>
    </sheetNames>
    <sheetDataSet>
      <sheetData sheetId="0"/>
      <sheetData sheetId="1" refreshError="1"/>
      <sheetData sheetId="2"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제작_분석"/>
      <sheetName val="예량가_분석"/>
      <sheetName val="Bestpro입력"/>
      <sheetName val="보고용"/>
      <sheetName val="임율 Data"/>
      <sheetName val="Sandhill"/>
      <sheetName val="신임율적용_검토안"/>
      <sheetName val="Ship &amp; Lifting"/>
      <sheetName val="Harp_견적기준"/>
      <sheetName val="Harp_Att"/>
      <sheetName val="Harp_적용"/>
      <sheetName val="Header_견적기준"/>
      <sheetName val="Header_Att"/>
      <sheetName val="Header_적용"/>
    </sheetNames>
    <sheetDataSet>
      <sheetData sheetId="0" refreshError="1"/>
      <sheetData sheetId="1" refreshError="1"/>
      <sheetData sheetId="2" refreshError="1"/>
      <sheetData sheetId="3" refreshError="1"/>
      <sheetData sheetId="4" refreshError="1">
        <row r="1">
          <cell r="B1" t="str">
            <v>검사</v>
          </cell>
          <cell r="C1" t="str">
            <v>공정간간접비</v>
          </cell>
          <cell r="D1" t="str">
            <v>신촌공장외주</v>
          </cell>
        </row>
        <row r="2">
          <cell r="A2">
            <v>2001</v>
          </cell>
          <cell r="B2">
            <v>44165</v>
          </cell>
          <cell r="C2">
            <v>90747</v>
          </cell>
          <cell r="D2">
            <v>13468</v>
          </cell>
        </row>
        <row r="3">
          <cell r="A3">
            <v>2002</v>
          </cell>
          <cell r="B3">
            <v>45050</v>
          </cell>
          <cell r="C3">
            <v>92213</v>
          </cell>
          <cell r="D3">
            <v>13903</v>
          </cell>
        </row>
        <row r="4">
          <cell r="A4">
            <v>2003</v>
          </cell>
          <cell r="B4">
            <v>47137</v>
          </cell>
          <cell r="C4">
            <v>95793</v>
          </cell>
          <cell r="D4">
            <v>14497</v>
          </cell>
        </row>
        <row r="5">
          <cell r="A5">
            <v>2004</v>
          </cell>
          <cell r="B5">
            <v>49328</v>
          </cell>
          <cell r="C5">
            <v>99550</v>
          </cell>
          <cell r="D5">
            <v>15123</v>
          </cell>
        </row>
        <row r="6">
          <cell r="A6">
            <v>2005</v>
          </cell>
          <cell r="B6">
            <v>51627</v>
          </cell>
          <cell r="C6">
            <v>103494</v>
          </cell>
          <cell r="D6">
            <v>15777</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QPT-Z"/>
      <sheetName val="임율 Data"/>
    </sheetNames>
    <sheetDataSet>
      <sheetData sheetId="0"/>
      <sheetData sheetId="1" refreshError="1"/>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ontent"/>
      <sheetName val="Project Outline"/>
      <sheetName val="주요공사"/>
      <sheetName val="Contractual Amount"/>
      <sheetName val="시헹예산"/>
      <sheetName val="TENDER vs BUDGET"/>
      <sheetName val="직영 vs 하청 - 2"/>
      <sheetName val="96 당초Schedule"/>
      <sheetName val="96 Performance"/>
      <sheetName val="소화-투입 분석표"/>
      <sheetName val="STF ORG(K)"/>
      <sheetName val="Staff Org. Chart"/>
      <sheetName val="Scope of Work"/>
      <sheetName val="Design Status"/>
      <sheetName val="DWG Status"/>
      <sheetName val="MAT'L Status"/>
      <sheetName val="장비동원"/>
      <sheetName val="근로자동원"/>
      <sheetName val="Install Status"/>
      <sheetName val="Staff Mob. Plan"/>
      <sheetName val="M.P Mob. Plan"/>
      <sheetName val="Eq. Mobilization"/>
      <sheetName val="Cover_Sheet"/>
      <sheetName val="Project_Outline"/>
      <sheetName val="Contractual_Amount"/>
      <sheetName val="TENDER_vs_BUDGET"/>
      <sheetName val="직영_vs_하청_-_2"/>
      <sheetName val="96_당초Schedule"/>
      <sheetName val="96_Performance"/>
      <sheetName val="소화-투입_분석표"/>
      <sheetName val="STF_ORG(K)"/>
      <sheetName val="Staff_Org__Chart"/>
      <sheetName val="Scope_of_Work"/>
      <sheetName val="Design_Status"/>
      <sheetName val="DWG_Status"/>
      <sheetName val="MAT'L_Status"/>
      <sheetName val="Install_Status"/>
      <sheetName val="Staff_Mob__Plan"/>
      <sheetName val="M_P_Mob__Plan"/>
      <sheetName val="Eq__Mobilization"/>
      <sheetName val="M-EQPT-Z"/>
      <sheetName val="Cover_Sheet1"/>
      <sheetName val="Project_Outline1"/>
      <sheetName val="Contractual_Amount1"/>
      <sheetName val="TENDER_vs_BUDGET1"/>
      <sheetName val="직영_vs_하청_-_21"/>
      <sheetName val="96_당초Schedule1"/>
      <sheetName val="96_Performance1"/>
      <sheetName val="소화-투입_분석표1"/>
      <sheetName val="STF_ORG(K)1"/>
      <sheetName val="Staff_Org__Chart1"/>
      <sheetName val="Scope_of_Work1"/>
      <sheetName val="Design_Status1"/>
      <sheetName val="DWG_Status1"/>
      <sheetName val="MAT'L_Status1"/>
      <sheetName val="Install_Status1"/>
      <sheetName val="Staff_Mob__Plan1"/>
      <sheetName val="M_P_Mob__Plan1"/>
      <sheetName val="Eq__Mobilization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지"/>
      <sheetName val="Ⅰ"/>
      <sheetName val="Ⅱ"/>
      <sheetName val="Ⅲ,Ⅳ"/>
      <sheetName val="Ⅴ,Ⅵ"/>
      <sheetName val="1"/>
      <sheetName val="2"/>
      <sheetName val="3"/>
      <sheetName val="4"/>
      <sheetName val="5"/>
      <sheetName val="6"/>
      <sheetName val="7"/>
      <sheetName val="8"/>
      <sheetName val="9"/>
      <sheetName val="10"/>
      <sheetName val="11"/>
      <sheetName val="12"/>
      <sheetName val="13,14"/>
      <sheetName val="15,16"/>
      <sheetName val="17,18"/>
      <sheetName val="19,20"/>
      <sheetName val="21"/>
      <sheetName val="22,23"/>
      <sheetName val="24"/>
      <sheetName val="25"/>
      <sheetName val="26"/>
      <sheetName val="27,28"/>
      <sheetName val="29"/>
      <sheetName val="30"/>
      <sheetName val="31"/>
      <sheetName val="32_34"/>
      <sheetName val="35"/>
      <sheetName val="36,37"/>
      <sheetName val="38"/>
      <sheetName val="39,40"/>
      <sheetName val="41"/>
      <sheetName val="42,43"/>
      <sheetName val="44"/>
      <sheetName val="45,46"/>
      <sheetName val="47,48"/>
      <sheetName val="49"/>
      <sheetName val="50,51"/>
      <sheetName val="52 "/>
      <sheetName val="53,54"/>
      <sheetName val="55,56"/>
      <sheetName val="57"/>
      <sheetName val="58"/>
      <sheetName val="59"/>
      <sheetName val="60"/>
      <sheetName val="61,62"/>
      <sheetName val="63"/>
      <sheetName val="64"/>
      <sheetName val="65"/>
      <sheetName val="66"/>
      <sheetName val="67(B4)   "/>
      <sheetName val="67(A4)"/>
      <sheetName val="68"/>
      <sheetName val="69"/>
      <sheetName val="70"/>
      <sheetName val="71"/>
      <sheetName val="72"/>
      <sheetName val="73"/>
      <sheetName val="74(A4)"/>
      <sheetName val="74(B4) "/>
      <sheetName val="75"/>
      <sheetName val="76"/>
      <sheetName val="77"/>
      <sheetName val="78"/>
      <sheetName val="79"/>
      <sheetName val="80"/>
      <sheetName val="81"/>
      <sheetName val="82"/>
      <sheetName val="83"/>
      <sheetName val="84(B4)"/>
      <sheetName val="85"/>
      <sheetName val="86"/>
      <sheetName val="87"/>
      <sheetName val="88"/>
      <sheetName val="89"/>
      <sheetName val="90"/>
      <sheetName val="91"/>
      <sheetName val="92"/>
      <sheetName val="93"/>
      <sheetName val="94"/>
      <sheetName val="95"/>
      <sheetName val="96"/>
      <sheetName val="97"/>
      <sheetName val="laroux"/>
      <sheetName val="북경"/>
      <sheetName val="대만"/>
      <sheetName val="싱가포르"/>
      <sheetName val="자카르타"/>
      <sheetName val="하노이"/>
      <sheetName val="뭄바이"/>
      <sheetName val="두바이"/>
      <sheetName val="리야드"/>
      <sheetName val="프랑크푸르트"/>
      <sheetName val="토론토"/>
      <sheetName val="동경"/>
      <sheetName val="뉴저지"/>
      <sheetName val="inkor"/>
      <sheetName val="말련"/>
      <sheetName val="52_"/>
      <sheetName val="67(B4)___"/>
      <sheetName val="74(B4)_"/>
      <sheetName val="data"/>
      <sheetName val="Eq. Mobilization"/>
      <sheetName val="52_1"/>
      <sheetName val="67(B4)___1"/>
      <sheetName val="74(B4)_1"/>
      <sheetName val="외화금융(9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refreshError="1"/>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ization 18-19"/>
      <sheetName val="Summary Sheet 18-19"/>
      <sheetName val="Capitalization 19-20"/>
      <sheetName val="Capitalization 20-21"/>
    </sheetNames>
    <sheetDataSet>
      <sheetData sheetId="0"/>
      <sheetData sheetId="1">
        <row r="98">
          <cell r="F98">
            <v>1183.3547224250003</v>
          </cell>
        </row>
      </sheetData>
      <sheetData sheetId="2">
        <row r="40">
          <cell r="O40"/>
        </row>
        <row r="47">
          <cell r="G47">
            <v>218.94</v>
          </cell>
          <cell r="H47">
            <v>62.64</v>
          </cell>
        </row>
      </sheetData>
      <sheetData sheetId="3">
        <row r="3">
          <cell r="J3">
            <v>15.21</v>
          </cell>
        </row>
        <row r="26">
          <cell r="T26">
            <v>122.8</v>
          </cell>
        </row>
        <row r="41">
          <cell r="I41">
            <v>498.89619999999996</v>
          </cell>
          <cell r="R41">
            <v>41.907280799999995</v>
          </cell>
        </row>
      </sheetData>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in Sheet (2)"/>
      <sheetName val="Sheet3"/>
      <sheetName val="Main Sheet"/>
      <sheetName val="IDC"/>
      <sheetName val="Capitalisation"/>
      <sheetName val="Capitalisation (Ongoing)"/>
      <sheetName val="Capt (New Project)"/>
      <sheetName val="Capex &amp; Capit"/>
      <sheetName val="New Project"/>
      <sheetName val="Capex"/>
      <sheetName val="Capex 2"/>
      <sheetName val="CP"/>
      <sheetName val="True up"/>
      <sheetName val="True Up2"/>
      <sheetName val="True Up 3"/>
      <sheetName val="APR"/>
      <sheetName val="APR2"/>
      <sheetName val="APR 4"/>
      <sheetName val="Proj Cost (Scheme)"/>
      <sheetName val="Working Sheet&gt;&gt;"/>
    </sheetNames>
    <sheetDataSet>
      <sheetData sheetId="0"/>
      <sheetData sheetId="1"/>
      <sheetData sheetId="2"/>
      <sheetData sheetId="3"/>
      <sheetData sheetId="4"/>
      <sheetData sheetId="5">
        <row r="4">
          <cell r="K4">
            <v>68.86999999999999</v>
          </cell>
        </row>
        <row r="10">
          <cell r="D10">
            <v>919.13948000000005</v>
          </cell>
          <cell r="E10">
            <v>1243.2664286762231</v>
          </cell>
          <cell r="G10">
            <v>649.87854240000001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in Sheet (2)"/>
      <sheetName val="Sheet3"/>
      <sheetName val="Annexure 3 (True up)"/>
      <sheetName val="Annexure 3-II (APR)"/>
      <sheetName val="Annecure 3-III (ARR)"/>
      <sheetName val="Main Sheet"/>
      <sheetName val="IDC"/>
      <sheetName val="Capitalisation"/>
      <sheetName val="Capitalisation (Ongoing)"/>
      <sheetName val="Capt (New Project)"/>
      <sheetName val="Capex &amp; Capit"/>
      <sheetName val="New Project"/>
      <sheetName val="Capex"/>
      <sheetName val="Capex 2"/>
      <sheetName val="CP"/>
      <sheetName val="True up"/>
      <sheetName val="True Up2"/>
      <sheetName val="True Up 3"/>
      <sheetName val="APR"/>
      <sheetName val="APR2"/>
      <sheetName val="APR 4"/>
      <sheetName val="Proj Cost (Scheme)"/>
      <sheetName val="Working Sheet&gt;&g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7">
          <cell r="M7">
            <v>94.327271999999994</v>
          </cell>
        </row>
        <row r="10">
          <cell r="F10">
            <v>1117.8908053333334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erred Tax_F"/>
      <sheetName val="BS"/>
      <sheetName val="PPE2021"/>
      <sheetName val="P&amp;L"/>
      <sheetName val="Journal 19-20"/>
      <sheetName val="CFS "/>
      <sheetName val="SCWC"/>
      <sheetName val="Mapped TB 19-20"/>
      <sheetName val="PPE 19-20"/>
      <sheetName val="SOCIE 20-21"/>
      <sheetName val="TB20-21"/>
      <sheetName val="TBNEW"/>
      <sheetName val="SCH BS1-6"/>
      <sheetName val="Sch BS 7-11"/>
      <sheetName val="Sch BS 12"/>
      <sheetName val="Sch BS 13-19"/>
      <sheetName val="Sch P&amp;L 20-21"/>
      <sheetName val="Sch P&amp;L 22-25"/>
      <sheetName val="Trade receivable"/>
    </sheetNames>
    <sheetDataSet>
      <sheetData sheetId="0"/>
      <sheetData sheetId="1"/>
      <sheetData sheetId="2">
        <row r="13">
          <cell r="B13">
            <v>14697647407.290001</v>
          </cell>
          <cell r="C13">
            <v>356333597</v>
          </cell>
          <cell r="D13">
            <v>44090</v>
          </cell>
          <cell r="E13">
            <v>2369462673.3800001</v>
          </cell>
          <cell r="F13">
            <v>36035094345.880005</v>
          </cell>
          <cell r="G13">
            <v>31898568550.709999</v>
          </cell>
          <cell r="H13">
            <v>0</v>
          </cell>
          <cell r="I13">
            <v>82453198</v>
          </cell>
          <cell r="J13">
            <v>21865071.16</v>
          </cell>
          <cell r="K13">
            <v>27689372</v>
          </cell>
          <cell r="L13">
            <v>85489158305.420013</v>
          </cell>
        </row>
        <row r="14">
          <cell r="B14">
            <v>333066729</v>
          </cell>
          <cell r="C14">
            <v>103914066</v>
          </cell>
          <cell r="D14">
            <v>306716.38</v>
          </cell>
          <cell r="E14">
            <v>476097950</v>
          </cell>
          <cell r="F14">
            <v>4426792148</v>
          </cell>
          <cell r="G14">
            <v>1791451353</v>
          </cell>
          <cell r="H14">
            <v>0</v>
          </cell>
          <cell r="I14">
            <v>14041077</v>
          </cell>
          <cell r="J14">
            <v>5254238</v>
          </cell>
          <cell r="K14">
            <v>82303378</v>
          </cell>
        </row>
        <row r="15">
          <cell r="C15">
            <v>1777</v>
          </cell>
          <cell r="E15">
            <v>306716.38</v>
          </cell>
          <cell r="F15">
            <v>1515000</v>
          </cell>
          <cell r="G15">
            <v>33901684</v>
          </cell>
          <cell r="H15">
            <v>0</v>
          </cell>
          <cell r="I15">
            <v>265766</v>
          </cell>
          <cell r="J15">
            <v>581092</v>
          </cell>
          <cell r="K15">
            <v>0</v>
          </cell>
        </row>
        <row r="31">
          <cell r="B31">
            <v>15030714136.290001</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0">
          <cell r="C50">
            <v>4640335963</v>
          </cell>
        </row>
        <row r="52">
          <cell r="C52">
            <v>5000000000</v>
          </cell>
        </row>
      </sheetData>
      <sheetData sheetId="16">
        <row r="23">
          <cell r="B23">
            <v>20832268.549999997</v>
          </cell>
        </row>
        <row r="24">
          <cell r="B24">
            <v>55318243.549999997</v>
          </cell>
        </row>
        <row r="25">
          <cell r="B25">
            <v>7394376</v>
          </cell>
        </row>
        <row r="34">
          <cell r="B34">
            <v>132</v>
          </cell>
        </row>
        <row r="35">
          <cell r="B35">
            <v>354351683.15999997</v>
          </cell>
        </row>
        <row r="36">
          <cell r="B36">
            <v>77129762</v>
          </cell>
        </row>
        <row r="40">
          <cell r="B40">
            <v>69283332</v>
          </cell>
        </row>
        <row r="41">
          <cell r="B41">
            <v>7910579.25</v>
          </cell>
        </row>
        <row r="42">
          <cell r="B42">
            <v>1665000</v>
          </cell>
        </row>
        <row r="43">
          <cell r="B43">
            <v>2922294.24</v>
          </cell>
        </row>
        <row r="44">
          <cell r="B44">
            <v>722630679.20000005</v>
          </cell>
        </row>
      </sheetData>
      <sheetData sheetId="17">
        <row r="7">
          <cell r="B7">
            <v>1370664984.8400002</v>
          </cell>
        </row>
        <row r="8">
          <cell r="B8">
            <v>67964647</v>
          </cell>
        </row>
        <row r="9">
          <cell r="B9">
            <v>230614703</v>
          </cell>
        </row>
        <row r="10">
          <cell r="B10">
            <v>213741179</v>
          </cell>
        </row>
        <row r="11">
          <cell r="B11">
            <v>5533139</v>
          </cell>
        </row>
        <row r="12">
          <cell r="B12">
            <v>3848965</v>
          </cell>
        </row>
        <row r="13">
          <cell r="B13">
            <v>407894734</v>
          </cell>
        </row>
        <row r="44">
          <cell r="B44">
            <v>325998710.5</v>
          </cell>
        </row>
        <row r="45">
          <cell r="B45">
            <v>28259017</v>
          </cell>
        </row>
        <row r="46">
          <cell r="B46">
            <v>50401858</v>
          </cell>
        </row>
        <row r="47">
          <cell r="B47">
            <v>0</v>
          </cell>
        </row>
        <row r="48">
          <cell r="B48">
            <v>86850685.5</v>
          </cell>
        </row>
        <row r="49">
          <cell r="B49">
            <v>22566</v>
          </cell>
        </row>
        <row r="50">
          <cell r="B50">
            <v>71078</v>
          </cell>
        </row>
        <row r="51">
          <cell r="B51">
            <v>3651980.3</v>
          </cell>
        </row>
        <row r="55">
          <cell r="B55">
            <v>10132860</v>
          </cell>
        </row>
        <row r="56">
          <cell r="B56">
            <v>69733748.959999993</v>
          </cell>
        </row>
        <row r="57">
          <cell r="B57">
            <v>5742194.4000000004</v>
          </cell>
        </row>
        <row r="58">
          <cell r="B58">
            <v>1081635</v>
          </cell>
        </row>
        <row r="59">
          <cell r="B59">
            <v>483060</v>
          </cell>
        </row>
        <row r="60">
          <cell r="B60">
            <v>10037550</v>
          </cell>
        </row>
        <row r="61">
          <cell r="B61">
            <v>59000</v>
          </cell>
        </row>
        <row r="62">
          <cell r="B62">
            <v>106896</v>
          </cell>
        </row>
        <row r="64">
          <cell r="B64">
            <v>114372998.51000001</v>
          </cell>
        </row>
        <row r="65">
          <cell r="B65">
            <v>10025</v>
          </cell>
        </row>
        <row r="66">
          <cell r="B66">
            <v>114473795.7</v>
          </cell>
        </row>
        <row r="69">
          <cell r="B69">
            <v>15991687</v>
          </cell>
        </row>
        <row r="70">
          <cell r="B70">
            <v>144614</v>
          </cell>
        </row>
        <row r="71">
          <cell r="B71">
            <v>3579765</v>
          </cell>
        </row>
        <row r="72">
          <cell r="B72">
            <v>9103189.8000000007</v>
          </cell>
        </row>
        <row r="73">
          <cell r="B73">
            <v>80531869</v>
          </cell>
        </row>
        <row r="74">
          <cell r="B74">
            <v>154723809.19999999</v>
          </cell>
        </row>
        <row r="75">
          <cell r="B75">
            <v>1452502</v>
          </cell>
        </row>
        <row r="76">
          <cell r="B76">
            <v>2576875</v>
          </cell>
        </row>
        <row r="77">
          <cell r="B77">
            <v>125369756.03</v>
          </cell>
        </row>
        <row r="78">
          <cell r="B78">
            <v>6907176.5800000001</v>
          </cell>
        </row>
        <row r="79">
          <cell r="B79">
            <v>50000000</v>
          </cell>
        </row>
        <row r="80">
          <cell r="B80"/>
        </row>
        <row r="81">
          <cell r="B81">
            <v>10623825.630000001</v>
          </cell>
        </row>
      </sheetData>
      <sheetData sheetId="18"/>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erred Tax_F"/>
      <sheetName val="BS"/>
      <sheetName val="PPE2021"/>
      <sheetName val="P&amp;L"/>
      <sheetName val="Journal 19-20"/>
      <sheetName val="CFS "/>
      <sheetName val="SCWC"/>
      <sheetName val="Mapped TB 19-20"/>
      <sheetName val="PPE 19-20"/>
      <sheetName val="SOCIE 20-21"/>
      <sheetName val="TB20-21"/>
      <sheetName val="TBNEW"/>
      <sheetName val="SCH BS1-6"/>
      <sheetName val="Sch BS 7-11"/>
      <sheetName val="Sch BS 12"/>
      <sheetName val="Sch BS 13-19"/>
      <sheetName val="Sch P&amp;L 20-21"/>
      <sheetName val="Sch P&amp;L 22-25"/>
      <sheetName val="Trade receivable"/>
    </sheetNames>
    <sheetDataSet>
      <sheetData sheetId="0" refreshError="1"/>
      <sheetData sheetId="1" refreshError="1"/>
      <sheetData sheetId="2">
        <row r="22">
          <cell r="C22">
            <v>79034151</v>
          </cell>
          <cell r="D22">
            <v>24497</v>
          </cell>
          <cell r="E22">
            <v>319285635</v>
          </cell>
          <cell r="F22">
            <v>5607772062</v>
          </cell>
          <cell r="G22">
            <v>4934581209</v>
          </cell>
          <cell r="H22">
            <v>0</v>
          </cell>
          <cell r="I22">
            <v>13818932</v>
          </cell>
          <cell r="J22">
            <v>3055916</v>
          </cell>
          <cell r="K22">
            <v>8766363</v>
          </cell>
        </row>
        <row r="23">
          <cell r="B23">
            <v>0</v>
          </cell>
        </row>
        <row r="24">
          <cell r="B24">
            <v>0</v>
          </cell>
          <cell r="C24">
            <v>33463677</v>
          </cell>
          <cell r="D24">
            <v>16187</v>
          </cell>
          <cell r="E24">
            <v>143042428</v>
          </cell>
          <cell r="F24">
            <v>2514147652</v>
          </cell>
          <cell r="G24">
            <v>2076404926</v>
          </cell>
          <cell r="H24">
            <v>0</v>
          </cell>
          <cell r="I24">
            <v>6242564</v>
          </cell>
          <cell r="J24">
            <v>3445036</v>
          </cell>
          <cell r="K24">
            <v>2443203</v>
          </cell>
        </row>
        <row r="25">
          <cell r="F25">
            <v>1374750</v>
          </cell>
          <cell r="G25">
            <v>8730941.0500000007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50">
          <cell r="B50">
            <v>4641272096</v>
          </cell>
          <cell r="C50">
            <v>4640335963</v>
          </cell>
        </row>
        <row r="52">
          <cell r="B52">
            <v>17500000000</v>
          </cell>
          <cell r="C52">
            <v>5000000000</v>
          </cell>
        </row>
      </sheetData>
      <sheetData sheetId="16" refreshError="1"/>
      <sheetData sheetId="17">
        <row r="24">
          <cell r="B24">
            <v>595266940.83999991</v>
          </cell>
        </row>
        <row r="27">
          <cell r="B27">
            <v>12283275.24</v>
          </cell>
        </row>
      </sheetData>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 02 Est.at Existing Tariff"/>
      <sheetName val="Financial Estimates"/>
      <sheetName val="Sheet1"/>
      <sheetName val="Sheet2"/>
      <sheetName val="Sheet3"/>
      <sheetName val="Dailysource"/>
    </sheetNames>
    <sheetDataSet>
      <sheetData sheetId="0" refreshError="1"/>
      <sheetData sheetId="1" refreshError="1">
        <row r="8">
          <cell r="A8" t="str">
            <v>AI.</v>
          </cell>
          <cell r="B8" t="str">
            <v>ENERGY DISTRIBUTED(MUS)</v>
          </cell>
        </row>
        <row r="10">
          <cell r="A10">
            <v>1</v>
          </cell>
          <cell r="B10" t="str">
            <v>SALES TO TPC'S CONSUMERS</v>
          </cell>
        </row>
        <row r="11">
          <cell r="B11" t="str">
            <v>TEXTILES</v>
          </cell>
        </row>
        <row r="12">
          <cell r="B12" t="str">
            <v>HT INDUSTRIES</v>
          </cell>
        </row>
        <row r="13">
          <cell r="B13" t="str">
            <v>HT COMMERCIAL</v>
          </cell>
        </row>
        <row r="14">
          <cell r="B14" t="str">
            <v>LT INDUSTRIES (SINGLE PART) (incl.Resi.)</v>
          </cell>
        </row>
        <row r="15">
          <cell r="B15" t="str">
            <v>LT INDUSTRIES (TWO PART)</v>
          </cell>
        </row>
        <row r="16">
          <cell r="B16" t="str">
            <v>LT COMMERCIAL (SINGLE PART)</v>
          </cell>
        </row>
        <row r="17">
          <cell r="B17" t="str">
            <v>LT COMMERCIAL (TWO PART)</v>
          </cell>
        </row>
        <row r="18">
          <cell r="B18" t="str">
            <v>RESIDENTIAL</v>
          </cell>
        </row>
        <row r="19">
          <cell r="B19" t="str">
            <v>RAILWAYS(INCL.INTERCHANGE)</v>
          </cell>
        </row>
        <row r="21">
          <cell r="B21" t="str">
            <v>TOTAL (DIRECT CONSUMERS)</v>
          </cell>
        </row>
        <row r="23">
          <cell r="B23" t="str">
            <v>BEST</v>
          </cell>
        </row>
        <row r="24">
          <cell r="B24" t="str">
            <v>BSES (22 KV/ 33 KV SUPPLY)</v>
          </cell>
        </row>
        <row r="25">
          <cell r="B25" t="str">
            <v>BSES (220 KV INTERCONNECTION)</v>
          </cell>
        </row>
        <row r="26">
          <cell r="B26" t="str">
            <v>BSES (TOTAL)</v>
          </cell>
        </row>
        <row r="28">
          <cell r="B28" t="str">
            <v>BEST &amp; BSES- TOTAL</v>
          </cell>
        </row>
        <row r="30">
          <cell r="B30" t="str">
            <v>TOTAL SALES</v>
          </cell>
        </row>
        <row r="33">
          <cell r="A33">
            <v>2</v>
          </cell>
          <cell r="B33" t="str">
            <v>ENERGY ASSISTANCE TO MSEB</v>
          </cell>
        </row>
        <row r="35">
          <cell r="A35">
            <v>3</v>
          </cell>
          <cell r="B35" t="str">
            <v>SALES TO OTHER STATE UTILITIES</v>
          </cell>
        </row>
        <row r="37">
          <cell r="A37">
            <v>4</v>
          </cell>
          <cell r="B37" t="str">
            <v>TOTAL SALES INCLUDING MSEB AND OTHER STATES</v>
          </cell>
        </row>
        <row r="39">
          <cell r="A39">
            <v>5</v>
          </cell>
          <cell r="B39" t="str">
            <v>22 KV WHEELING FOR MSEB</v>
          </cell>
        </row>
        <row r="41">
          <cell r="A41">
            <v>6</v>
          </cell>
          <cell r="B41" t="str">
            <v xml:space="preserve">TOTAL ENERGY DISTRIBUTED </v>
          </cell>
        </row>
        <row r="43">
          <cell r="A43" t="str">
            <v>AII.</v>
          </cell>
          <cell r="B43" t="str">
            <v>RKVAH (MUs)</v>
          </cell>
        </row>
        <row r="45">
          <cell r="B45" t="str">
            <v>TEXTILES</v>
          </cell>
        </row>
        <row r="46">
          <cell r="B46" t="str">
            <v>HT INDUSTRIES</v>
          </cell>
        </row>
        <row r="47">
          <cell r="B47" t="str">
            <v>HT COMMERCIAL</v>
          </cell>
        </row>
        <row r="48">
          <cell r="B48" t="str">
            <v>LT INDUSTRIES (TWO PART TARIFF)</v>
          </cell>
        </row>
        <row r="49">
          <cell r="B49" t="str">
            <v>LT COMMERCIAL (TWO PART TARIFF)</v>
          </cell>
        </row>
        <row r="50">
          <cell r="B50" t="str">
            <v>RAILWAYS(INCL.INTERCHANGE)</v>
          </cell>
        </row>
        <row r="52">
          <cell r="B52" t="str">
            <v>TOTAL TEX./IND./COMM/RLYS</v>
          </cell>
        </row>
        <row r="54">
          <cell r="B54" t="str">
            <v>BEST</v>
          </cell>
        </row>
        <row r="55">
          <cell r="B55" t="str">
            <v>BSES (22 KV)</v>
          </cell>
        </row>
        <row r="56">
          <cell r="B56" t="str">
            <v>BSES (220 KV)</v>
          </cell>
        </row>
        <row r="58">
          <cell r="B58" t="str">
            <v>TOTAL</v>
          </cell>
        </row>
        <row r="61">
          <cell r="A61" t="str">
            <v>AII.</v>
          </cell>
          <cell r="B61" t="str">
            <v>MAXIMUM DEMAND (MVA)</v>
          </cell>
        </row>
        <row r="63">
          <cell r="B63" t="str">
            <v>TEXTILES</v>
          </cell>
        </row>
        <row r="64">
          <cell r="B64" t="str">
            <v>HT INDUSTRIES</v>
          </cell>
        </row>
        <row r="65">
          <cell r="B65" t="str">
            <v>HT COMMERCIAL</v>
          </cell>
        </row>
        <row r="66">
          <cell r="B66" t="str">
            <v>LT INDUSTRIES (TWO PART TARIFF)</v>
          </cell>
        </row>
        <row r="67">
          <cell r="B67" t="str">
            <v>LT COMMERCIAL (TWO PART TARIFF)</v>
          </cell>
        </row>
        <row r="68">
          <cell r="B68" t="str">
            <v>RAILWAYS(INCL.INTERCHANGE)</v>
          </cell>
        </row>
        <row r="70">
          <cell r="B70" t="str">
            <v>TOTAL (DIRECT CONSUMERS)</v>
          </cell>
        </row>
        <row r="72">
          <cell r="B72" t="str">
            <v>BEST</v>
          </cell>
        </row>
        <row r="73">
          <cell r="B73" t="str">
            <v>BSES (22 KV/ 33 KV SUPPLY)</v>
          </cell>
        </row>
        <row r="75">
          <cell r="B75" t="str">
            <v>TOTAL</v>
          </cell>
        </row>
        <row r="78">
          <cell r="A78" t="str">
            <v>B.</v>
          </cell>
          <cell r="B78" t="str">
            <v>TPC GENERATION(MUS)</v>
          </cell>
        </row>
        <row r="80">
          <cell r="A80">
            <v>1</v>
          </cell>
          <cell r="B80" t="str">
            <v>HYDRO</v>
          </cell>
        </row>
        <row r="81">
          <cell r="B81" t="str">
            <v>FROM NATURAL SOURCE OF WATER</v>
          </cell>
        </row>
        <row r="82">
          <cell r="B82" t="str">
            <v>PEAKING ENERGY FROM PUMPED WATER</v>
          </cell>
        </row>
        <row r="83">
          <cell r="B83" t="str">
            <v>TOTAL</v>
          </cell>
        </row>
        <row r="85">
          <cell r="A85">
            <v>2</v>
          </cell>
          <cell r="B85" t="str">
            <v>THERMAL</v>
          </cell>
        </row>
        <row r="86">
          <cell r="B86" t="str">
            <v>UNIT NO.4</v>
          </cell>
        </row>
        <row r="87">
          <cell r="B87" t="str">
            <v>UNIT NO.5</v>
          </cell>
        </row>
        <row r="88">
          <cell r="B88" t="str">
            <v>UNIT NO.6</v>
          </cell>
        </row>
        <row r="89">
          <cell r="B89" t="str">
            <v>UNIT NOS.7 AS GT</v>
          </cell>
        </row>
        <row r="90">
          <cell r="B90" t="str">
            <v>UNIT NO.7</v>
          </cell>
        </row>
        <row r="92">
          <cell r="B92" t="str">
            <v>TOTAL THERMAL GENERATION</v>
          </cell>
        </row>
        <row r="95">
          <cell r="A95">
            <v>4</v>
          </cell>
          <cell r="B95" t="str">
            <v>TOTAL TPC GENERATION</v>
          </cell>
        </row>
        <row r="97">
          <cell r="A97">
            <v>5</v>
          </cell>
          <cell r="B97" t="str">
            <v>AUXILIARY CONSUMPTION</v>
          </cell>
        </row>
        <row r="98">
          <cell r="A98">
            <v>6</v>
          </cell>
          <cell r="B98" t="str">
            <v>ENERGY REQ.FOR PUMPING</v>
          </cell>
        </row>
        <row r="100">
          <cell r="A100">
            <v>6</v>
          </cell>
          <cell r="B100" t="str">
            <v>NET TPC GENERATION</v>
          </cell>
        </row>
        <row r="102">
          <cell r="A102" t="str">
            <v>C.</v>
          </cell>
          <cell r="B102" t="str">
            <v>PURCHASES FROM MSEB(MUS)</v>
          </cell>
        </row>
        <row r="104">
          <cell r="A104">
            <v>1</v>
          </cell>
          <cell r="B104" t="str">
            <v xml:space="preserve">T&amp;D LOSSES </v>
          </cell>
        </row>
        <row r="105">
          <cell r="A105">
            <v>2</v>
          </cell>
          <cell r="B105" t="str">
            <v>EX BUS REQUIREMENT</v>
          </cell>
        </row>
        <row r="106">
          <cell r="A106">
            <v>3</v>
          </cell>
          <cell r="B106" t="str">
            <v>GROSS PURCHASE</v>
          </cell>
        </row>
        <row r="107">
          <cell r="A107">
            <v>4</v>
          </cell>
          <cell r="B107" t="str">
            <v>22 KV WHEELING FOR MSEB</v>
          </cell>
        </row>
        <row r="108">
          <cell r="A108">
            <v>5</v>
          </cell>
          <cell r="B108" t="str">
            <v>NET PURCHASE</v>
          </cell>
        </row>
        <row r="271">
          <cell r="B271" t="str">
            <v>PURCHASE MVA /MONTH</v>
          </cell>
          <cell r="D271">
            <v>550</v>
          </cell>
        </row>
        <row r="273">
          <cell r="B273" t="str">
            <v>MONTHLY FIXED WLG.CHRGS.RECOVERABLE(Rs.LACS)</v>
          </cell>
          <cell r="D273">
            <v>67.11</v>
          </cell>
        </row>
        <row r="274">
          <cell r="B274" t="str">
            <v>MONTHLY FIXED WLG.CHARGES PAYABLE(Rs.LACS)</v>
          </cell>
          <cell r="D274">
            <v>67.11</v>
          </cell>
        </row>
        <row r="276">
          <cell r="B276" t="str">
            <v>% OF (U#5 + U#6+U#7) POWER WHEELED</v>
          </cell>
          <cell r="D276">
            <v>26</v>
          </cell>
        </row>
        <row r="278">
          <cell r="B278" t="str">
            <v>ENERGY LOSS IN WHEELING MSEB'S POWER (%)</v>
          </cell>
          <cell r="D278">
            <v>3.09</v>
          </cell>
        </row>
        <row r="279">
          <cell r="B279" t="str">
            <v>ENERGY LOSS IN WHEELING TPC'S POWER (%)</v>
          </cell>
          <cell r="D279">
            <v>2</v>
          </cell>
        </row>
        <row r="281">
          <cell r="B281" t="str">
            <v>PURCHASE ENERGY RATE (P/U)</v>
          </cell>
          <cell r="D281">
            <v>290</v>
          </cell>
        </row>
        <row r="282">
          <cell r="B282" t="str">
            <v>PURCHASE FAC RATE (P/U)</v>
          </cell>
          <cell r="D282">
            <v>0</v>
          </cell>
        </row>
        <row r="283">
          <cell r="B283" t="str">
            <v>ENERGY RATE FOR SALE TO MSEB (P/U)</v>
          </cell>
          <cell r="D283">
            <v>125.9</v>
          </cell>
        </row>
        <row r="284">
          <cell r="B284" t="str">
            <v>ENERGY RATE FOR SALE TO INTER STATE  UTILITIES (P/U)</v>
          </cell>
          <cell r="D284">
            <v>125.9</v>
          </cell>
        </row>
        <row r="285">
          <cell r="B285" t="str">
            <v>FAC RATE FOR SALE TO INTER STATE  UTILITIES (P/U)</v>
          </cell>
          <cell r="D285">
            <v>124.1</v>
          </cell>
        </row>
        <row r="286">
          <cell r="B286" t="str">
            <v>FAC RATE FOR SALE TO MSEB (P/U)</v>
          </cell>
          <cell r="D286">
            <v>124.1</v>
          </cell>
        </row>
        <row r="287">
          <cell r="B287" t="str">
            <v>PURCHASE MD RATE (Rs./KVA/MONTH)</v>
          </cell>
          <cell r="D287">
            <v>600</v>
          </cell>
        </row>
        <row r="289">
          <cell r="B289" t="str">
            <v>FUEL COST (Rs./MT) :</v>
          </cell>
        </row>
        <row r="290">
          <cell r="B290" t="str">
            <v>COAL</v>
          </cell>
          <cell r="D290">
            <v>2875</v>
          </cell>
        </row>
        <row r="291">
          <cell r="B291" t="str">
            <v>GAS</v>
          </cell>
          <cell r="D291">
            <v>4200</v>
          </cell>
        </row>
        <row r="292">
          <cell r="B292" t="str">
            <v>LSHS/ LSWR</v>
          </cell>
          <cell r="D292">
            <v>9760</v>
          </cell>
        </row>
        <row r="293">
          <cell r="B293" t="str">
            <v>-</v>
          </cell>
          <cell r="C293" t="str">
            <v>-</v>
          </cell>
          <cell r="D293" t="str">
            <v>-</v>
          </cell>
        </row>
        <row r="295">
          <cell r="B295" t="str">
            <v>Tariff :</v>
          </cell>
        </row>
        <row r="296">
          <cell r="C296" t="str">
            <v>MD</v>
          </cell>
          <cell r="D296" t="str">
            <v>RKVAH</v>
          </cell>
        </row>
        <row r="297">
          <cell r="C297" t="str">
            <v>(Rs./KVA)</v>
          </cell>
          <cell r="D297" t="str">
            <v>(P./RKVAH)</v>
          </cell>
        </row>
        <row r="298">
          <cell r="B298" t="str">
            <v>TEXTILES</v>
          </cell>
          <cell r="C298">
            <v>170</v>
          </cell>
          <cell r="D298">
            <v>0</v>
          </cell>
        </row>
        <row r="299">
          <cell r="B299" t="str">
            <v>HT INDUSTRIES</v>
          </cell>
          <cell r="C299">
            <v>170</v>
          </cell>
          <cell r="D299">
            <v>0</v>
          </cell>
        </row>
        <row r="300">
          <cell r="B300" t="str">
            <v>HT COMMERCIAL</v>
          </cell>
          <cell r="C300">
            <v>170</v>
          </cell>
          <cell r="D300">
            <v>0</v>
          </cell>
        </row>
        <row r="301">
          <cell r="B301" t="str">
            <v>LT INDUSTRIES (TWO PART TARIFF)</v>
          </cell>
          <cell r="C301">
            <v>175</v>
          </cell>
          <cell r="D301">
            <v>0</v>
          </cell>
        </row>
        <row r="302">
          <cell r="B302" t="str">
            <v>LT COMMERCIAL (TWO PART TARIFF)</v>
          </cell>
          <cell r="C302">
            <v>175</v>
          </cell>
          <cell r="D302">
            <v>0</v>
          </cell>
        </row>
        <row r="303">
          <cell r="B303" t="str">
            <v>RAILWAYS</v>
          </cell>
          <cell r="C303">
            <v>170</v>
          </cell>
          <cell r="D303">
            <v>0</v>
          </cell>
        </row>
        <row r="304">
          <cell r="B304" t="str">
            <v>BEST</v>
          </cell>
          <cell r="C304">
            <v>170</v>
          </cell>
          <cell r="D304">
            <v>0</v>
          </cell>
        </row>
        <row r="305">
          <cell r="B305" t="str">
            <v>BSES (22/33 KV)</v>
          </cell>
          <cell r="C305">
            <v>200</v>
          </cell>
          <cell r="D305">
            <v>0</v>
          </cell>
        </row>
        <row r="306">
          <cell r="B306" t="str">
            <v>BSES (220 KV)</v>
          </cell>
          <cell r="D306">
            <v>0</v>
          </cell>
        </row>
        <row r="307">
          <cell r="B307" t="str">
            <v>MSEB 22 KV</v>
          </cell>
          <cell r="D307">
            <v>0</v>
          </cell>
        </row>
        <row r="308">
          <cell r="B308" t="str">
            <v>ENERGY RATE (P/KWH) :</v>
          </cell>
        </row>
        <row r="309">
          <cell r="B309" t="str">
            <v>TEXTILES</v>
          </cell>
          <cell r="C309">
            <v>197</v>
          </cell>
        </row>
        <row r="310">
          <cell r="B310" t="str">
            <v>HT INDUSTRIES</v>
          </cell>
          <cell r="C310">
            <v>197</v>
          </cell>
        </row>
        <row r="311">
          <cell r="B311" t="str">
            <v>HT COMMERCIAL</v>
          </cell>
          <cell r="C311">
            <v>197</v>
          </cell>
        </row>
        <row r="312">
          <cell r="B312" t="str">
            <v>LT INDUSTRIES (SINGLE PART TARIFF)</v>
          </cell>
          <cell r="C312">
            <v>272</v>
          </cell>
        </row>
        <row r="313">
          <cell r="B313" t="str">
            <v>LT INDUSTRIES (TWO PART TARIFF)</v>
          </cell>
          <cell r="C313">
            <v>202</v>
          </cell>
        </row>
        <row r="314">
          <cell r="B314" t="str">
            <v>LT COMMERCIAL (SINGLE PART TARIFF)</v>
          </cell>
          <cell r="C314">
            <v>272</v>
          </cell>
        </row>
        <row r="315">
          <cell r="B315" t="str">
            <v>LT COMMERCIAL (TWO PART TARIFF)</v>
          </cell>
          <cell r="C315">
            <v>202</v>
          </cell>
        </row>
        <row r="316">
          <cell r="B316" t="str">
            <v>RESIDENTIAL</v>
          </cell>
          <cell r="C316">
            <v>212.75</v>
          </cell>
        </row>
        <row r="317">
          <cell r="B317" t="str">
            <v>RAILWAYS</v>
          </cell>
          <cell r="C317">
            <v>197</v>
          </cell>
        </row>
        <row r="318">
          <cell r="B318" t="str">
            <v>BEST</v>
          </cell>
          <cell r="C318">
            <v>177</v>
          </cell>
        </row>
        <row r="319">
          <cell r="B319" t="str">
            <v>BSES</v>
          </cell>
          <cell r="C319">
            <v>177</v>
          </cell>
        </row>
        <row r="320">
          <cell r="B320" t="str">
            <v>BSES 220 KV</v>
          </cell>
          <cell r="C320">
            <v>209</v>
          </cell>
        </row>
        <row r="321">
          <cell r="B321" t="str">
            <v>BASIC COST OF FUEL (Rs./MKCL)</v>
          </cell>
          <cell r="C321">
            <v>325</v>
          </cell>
        </row>
        <row r="322">
          <cell r="B322" t="str">
            <v>-</v>
          </cell>
        </row>
        <row r="323">
          <cell r="B323" t="str">
            <v>CALORIFIC VALUES (MKCL/MT) :</v>
          </cell>
        </row>
        <row r="324">
          <cell r="B324" t="str">
            <v>COAL</v>
          </cell>
          <cell r="C324">
            <v>5.1278223000000001</v>
          </cell>
        </row>
        <row r="325">
          <cell r="B325" t="str">
            <v>GAS</v>
          </cell>
          <cell r="C325">
            <v>13</v>
          </cell>
        </row>
        <row r="326">
          <cell r="B326" t="str">
            <v>LSHS/ LSWR</v>
          </cell>
          <cell r="C326">
            <v>10.5</v>
          </cell>
        </row>
        <row r="328">
          <cell r="B328" t="str">
            <v>HEAT RATES &amp; AUXILIARY CONSUMPTION</v>
          </cell>
          <cell r="C328" t="str">
            <v>HEAT RATE</v>
          </cell>
          <cell r="D328" t="str">
            <v>AUX.CONS.</v>
          </cell>
        </row>
        <row r="329">
          <cell r="C329" t="str">
            <v>MKCL/MU</v>
          </cell>
          <cell r="D329" t="str">
            <v>(%)</v>
          </cell>
        </row>
        <row r="330">
          <cell r="B330" t="str">
            <v>------------------------------------</v>
          </cell>
          <cell r="C330" t="str">
            <v>-</v>
          </cell>
          <cell r="D330" t="str">
            <v>-</v>
          </cell>
        </row>
        <row r="332">
          <cell r="B332" t="str">
            <v>UNIT NO.4</v>
          </cell>
          <cell r="C332">
            <v>2600</v>
          </cell>
          <cell r="D332">
            <v>10</v>
          </cell>
        </row>
        <row r="333">
          <cell r="B333" t="str">
            <v>UNIT NO.5</v>
          </cell>
          <cell r="C333">
            <v>2430</v>
          </cell>
          <cell r="D333">
            <v>5</v>
          </cell>
        </row>
        <row r="334">
          <cell r="B334" t="str">
            <v>UNIT NO.6</v>
          </cell>
          <cell r="C334">
            <v>2380</v>
          </cell>
          <cell r="D334">
            <v>4</v>
          </cell>
        </row>
        <row r="335">
          <cell r="B335" t="str">
            <v>UNIT NO.7 AS GT</v>
          </cell>
          <cell r="C335">
            <v>2850</v>
          </cell>
          <cell r="D335">
            <v>2.1</v>
          </cell>
        </row>
        <row r="336">
          <cell r="B336" t="str">
            <v>UNIT NO.7</v>
          </cell>
          <cell r="C336">
            <v>2000</v>
          </cell>
          <cell r="D336">
            <v>2</v>
          </cell>
        </row>
        <row r="337">
          <cell r="B337" t="str">
            <v>HYDRO</v>
          </cell>
          <cell r="D337">
            <v>0.5</v>
          </cell>
        </row>
        <row r="339">
          <cell r="B339" t="str">
            <v>TAXABLE SALES</v>
          </cell>
          <cell r="C339">
            <v>91</v>
          </cell>
          <cell r="D339" t="str">
            <v>%</v>
          </cell>
        </row>
        <row r="340">
          <cell r="B340" t="str">
            <v xml:space="preserve">TAX ON  SALE RATE </v>
          </cell>
          <cell r="C340">
            <v>15</v>
          </cell>
          <cell r="D340" t="str">
            <v>(P/KWH)</v>
          </cell>
        </row>
        <row r="342">
          <cell r="B342" t="str">
            <v>T T &amp; D LOSSES</v>
          </cell>
          <cell r="C342">
            <v>2.2999999999999998</v>
          </cell>
          <cell r="D342" t="str">
            <v>%</v>
          </cell>
        </row>
      </sheetData>
      <sheetData sheetId="2" refreshError="1"/>
      <sheetData sheetId="3" refreshError="1"/>
      <sheetData sheetId="4" refreshError="1"/>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 02 Est.at Existing Tariff"/>
      <sheetName val="Financial Estimates"/>
      <sheetName val="Sheet1"/>
      <sheetName val="Sheet2"/>
      <sheetName val="Sheet3"/>
      <sheetName val="ins spares"/>
      <sheetName val="Input_Sheet"/>
      <sheetName val="per un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 02 Est.at Existing Tariff"/>
      <sheetName val="Financial Estimates"/>
      <sheetName val="Sheet1"/>
      <sheetName val="Sheet2"/>
      <sheetName val="Sheet3"/>
    </sheetNames>
    <sheetDataSet>
      <sheetData sheetId="0" refreshError="1"/>
      <sheetData sheetId="1" refreshError="1">
        <row r="8">
          <cell r="A8" t="str">
            <v>AI.</v>
          </cell>
          <cell r="B8" t="str">
            <v>ENERGY DISTRIBUTED(MUS)</v>
          </cell>
        </row>
        <row r="10">
          <cell r="A10">
            <v>1</v>
          </cell>
          <cell r="B10" t="str">
            <v>SALES TO TPC'S CONSUMERS</v>
          </cell>
        </row>
        <row r="11">
          <cell r="B11" t="str">
            <v>TEXTILES</v>
          </cell>
        </row>
        <row r="12">
          <cell r="B12" t="str">
            <v>HT INDUSTRIES</v>
          </cell>
        </row>
        <row r="13">
          <cell r="B13" t="str">
            <v>HT COMMERCIAL</v>
          </cell>
        </row>
        <row r="14">
          <cell r="B14" t="str">
            <v>LT INDUSTRIES (SINGLE PART) (incl.Resi.)</v>
          </cell>
        </row>
        <row r="15">
          <cell r="B15" t="str">
            <v>LT INDUSTRIES (TWO PART)</v>
          </cell>
        </row>
        <row r="16">
          <cell r="B16" t="str">
            <v>LT COMMERCIAL (SINGLE PART)</v>
          </cell>
        </row>
        <row r="17">
          <cell r="B17" t="str">
            <v>LT COMMERCIAL (TWO PART)</v>
          </cell>
        </row>
        <row r="18">
          <cell r="B18" t="str">
            <v>RESIDENTIAL</v>
          </cell>
        </row>
        <row r="19">
          <cell r="B19" t="str">
            <v>RAILWAYS(INCL.INTERCHANGE)</v>
          </cell>
        </row>
        <row r="21">
          <cell r="B21" t="str">
            <v>TOTAL (DIRECT CONSUMERS)</v>
          </cell>
        </row>
        <row r="23">
          <cell r="B23" t="str">
            <v>BEST</v>
          </cell>
        </row>
        <row r="24">
          <cell r="B24" t="str">
            <v>BSES (22 KV/ 33 KV SUPPLY)</v>
          </cell>
        </row>
        <row r="25">
          <cell r="B25" t="str">
            <v>BSES (220 KV INTERCONNECTION)</v>
          </cell>
        </row>
        <row r="26">
          <cell r="B26" t="str">
            <v>BSES (TOTAL)</v>
          </cell>
        </row>
        <row r="28">
          <cell r="B28" t="str">
            <v>BEST &amp; BSES- TOTAL</v>
          </cell>
        </row>
        <row r="30">
          <cell r="B30" t="str">
            <v>TOTAL SALES</v>
          </cell>
        </row>
        <row r="33">
          <cell r="A33">
            <v>2</v>
          </cell>
          <cell r="B33" t="str">
            <v>ENERGY ASSISTANCE TO MSEB</v>
          </cell>
        </row>
        <row r="35">
          <cell r="A35">
            <v>3</v>
          </cell>
          <cell r="B35" t="str">
            <v>SALES TO OTHER STATE UTILITIES</v>
          </cell>
        </row>
        <row r="37">
          <cell r="A37">
            <v>4</v>
          </cell>
          <cell r="B37" t="str">
            <v>TOTAL SALES INCLUDING MSEB AND OTHER STATES</v>
          </cell>
        </row>
        <row r="39">
          <cell r="A39">
            <v>5</v>
          </cell>
          <cell r="B39" t="str">
            <v>22 KV WHEELING FOR MSEB</v>
          </cell>
        </row>
        <row r="41">
          <cell r="A41">
            <v>6</v>
          </cell>
          <cell r="B41" t="str">
            <v xml:space="preserve">TOTAL ENERGY DISTRIBUTED </v>
          </cell>
        </row>
        <row r="43">
          <cell r="A43" t="str">
            <v>AII.</v>
          </cell>
          <cell r="B43" t="str">
            <v>RKVAH (MUs)</v>
          </cell>
        </row>
        <row r="45">
          <cell r="B45" t="str">
            <v>TEXTILES</v>
          </cell>
        </row>
        <row r="46">
          <cell r="B46" t="str">
            <v>HT INDUSTRIES</v>
          </cell>
        </row>
        <row r="47">
          <cell r="B47" t="str">
            <v>HT COMMERCIAL</v>
          </cell>
        </row>
        <row r="48">
          <cell r="B48" t="str">
            <v>LT INDUSTRIES (TWO PART TARIFF)</v>
          </cell>
        </row>
        <row r="49">
          <cell r="B49" t="str">
            <v>LT COMMERCIAL (TWO PART TARIFF)</v>
          </cell>
        </row>
        <row r="50">
          <cell r="B50" t="str">
            <v>RAILWAYS(INCL.INTERCHANGE)</v>
          </cell>
        </row>
        <row r="52">
          <cell r="B52" t="str">
            <v>TOTAL TEX./IND./COMM/RLYS</v>
          </cell>
        </row>
        <row r="54">
          <cell r="B54" t="str">
            <v>BEST</v>
          </cell>
        </row>
        <row r="55">
          <cell r="B55" t="str">
            <v>BSES (22 KV)</v>
          </cell>
        </row>
        <row r="56">
          <cell r="B56" t="str">
            <v>BSES (220 KV)</v>
          </cell>
        </row>
        <row r="58">
          <cell r="B58" t="str">
            <v>TOTAL</v>
          </cell>
        </row>
        <row r="61">
          <cell r="A61" t="str">
            <v>AII.</v>
          </cell>
          <cell r="B61" t="str">
            <v>MAXIMUM DEMAND (MVA)</v>
          </cell>
        </row>
        <row r="63">
          <cell r="B63" t="str">
            <v>TEXTILES</v>
          </cell>
        </row>
        <row r="64">
          <cell r="B64" t="str">
            <v>HT INDUSTRIES</v>
          </cell>
        </row>
        <row r="65">
          <cell r="B65" t="str">
            <v>HT COMMERCIAL</v>
          </cell>
        </row>
        <row r="66">
          <cell r="B66" t="str">
            <v>LT INDUSTRIES (TWO PART TARIFF)</v>
          </cell>
        </row>
        <row r="67">
          <cell r="B67" t="str">
            <v>LT COMMERCIAL (TWO PART TARIFF)</v>
          </cell>
        </row>
        <row r="68">
          <cell r="B68" t="str">
            <v>RAILWAYS(INCL.INTERCHANGE)</v>
          </cell>
        </row>
        <row r="70">
          <cell r="B70" t="str">
            <v>TOTAL (DIRECT CONSUMERS)</v>
          </cell>
        </row>
        <row r="72">
          <cell r="B72" t="str">
            <v>BEST</v>
          </cell>
        </row>
        <row r="73">
          <cell r="B73" t="str">
            <v>BSES (22 KV/ 33 KV SUPPLY)</v>
          </cell>
        </row>
        <row r="75">
          <cell r="B75" t="str">
            <v>TOTAL</v>
          </cell>
        </row>
        <row r="78">
          <cell r="A78" t="str">
            <v>B.</v>
          </cell>
          <cell r="B78" t="str">
            <v>TPC GENERATION(MUS)</v>
          </cell>
        </row>
        <row r="80">
          <cell r="A80">
            <v>1</v>
          </cell>
          <cell r="B80" t="str">
            <v>HYDRO</v>
          </cell>
        </row>
        <row r="81">
          <cell r="B81" t="str">
            <v>FROM NATURAL SOURCE OF WATER</v>
          </cell>
        </row>
        <row r="82">
          <cell r="B82" t="str">
            <v>PEAKING ENERGY FROM PUMPED WATER</v>
          </cell>
        </row>
        <row r="83">
          <cell r="B83" t="str">
            <v>TOTAL</v>
          </cell>
        </row>
        <row r="85">
          <cell r="A85">
            <v>2</v>
          </cell>
          <cell r="B85" t="str">
            <v>THERMAL</v>
          </cell>
        </row>
        <row r="86">
          <cell r="B86" t="str">
            <v>UNIT NO.4</v>
          </cell>
        </row>
        <row r="87">
          <cell r="B87" t="str">
            <v>UNIT NO.5</v>
          </cell>
        </row>
        <row r="88">
          <cell r="B88" t="str">
            <v>UNIT NO.6</v>
          </cell>
        </row>
        <row r="89">
          <cell r="B89" t="str">
            <v>UNIT NOS.7 AS GT</v>
          </cell>
        </row>
        <row r="90">
          <cell r="B90" t="str">
            <v>UNIT NO.7</v>
          </cell>
        </row>
        <row r="92">
          <cell r="B92" t="str">
            <v>TOTAL THERMAL GENERATION</v>
          </cell>
        </row>
        <row r="95">
          <cell r="A95">
            <v>4</v>
          </cell>
          <cell r="B95" t="str">
            <v>TOTAL TPC GENERATION</v>
          </cell>
        </row>
        <row r="97">
          <cell r="A97">
            <v>5</v>
          </cell>
          <cell r="B97" t="str">
            <v>AUXILIARY CONSUMPTION</v>
          </cell>
        </row>
        <row r="98">
          <cell r="A98">
            <v>6</v>
          </cell>
          <cell r="B98" t="str">
            <v>ENERGY REQ.FOR PUMPING</v>
          </cell>
        </row>
        <row r="100">
          <cell r="A100">
            <v>6</v>
          </cell>
          <cell r="B100" t="str">
            <v>NET TPC GENERATION</v>
          </cell>
        </row>
        <row r="102">
          <cell r="A102" t="str">
            <v>C.</v>
          </cell>
          <cell r="B102" t="str">
            <v>PURCHASES FROM MSEB(MUS)</v>
          </cell>
        </row>
        <row r="104">
          <cell r="A104">
            <v>1</v>
          </cell>
          <cell r="B104" t="str">
            <v xml:space="preserve">T&amp;D LOSSES </v>
          </cell>
        </row>
        <row r="105">
          <cell r="A105">
            <v>2</v>
          </cell>
          <cell r="B105" t="str">
            <v>EX BUS REQUIREMENT</v>
          </cell>
        </row>
        <row r="106">
          <cell r="A106">
            <v>3</v>
          </cell>
          <cell r="B106" t="str">
            <v>GROSS PURCHASE</v>
          </cell>
        </row>
        <row r="107">
          <cell r="A107">
            <v>4</v>
          </cell>
          <cell r="B107" t="str">
            <v>22 KV WHEELING FOR MSEB</v>
          </cell>
        </row>
        <row r="108">
          <cell r="A108">
            <v>5</v>
          </cell>
          <cell r="B108" t="str">
            <v>NET PURCHASE</v>
          </cell>
        </row>
        <row r="271">
          <cell r="B271" t="str">
            <v>PURCHASE MVA /MONTH</v>
          </cell>
          <cell r="D271">
            <v>550</v>
          </cell>
        </row>
        <row r="273">
          <cell r="B273" t="str">
            <v>MONTHLY FIXED WLG.CHRGS.RECOVERABLE(Rs.LACS)</v>
          </cell>
          <cell r="D273">
            <v>67.11</v>
          </cell>
        </row>
        <row r="274">
          <cell r="B274" t="str">
            <v>MONTHLY FIXED WLG.CHARGES PAYABLE(Rs.LACS)</v>
          </cell>
          <cell r="D274">
            <v>67.11</v>
          </cell>
        </row>
        <row r="276">
          <cell r="B276" t="str">
            <v>% OF (U#5 + U#6+U#7) POWER WHEELED</v>
          </cell>
          <cell r="D276">
            <v>26</v>
          </cell>
        </row>
        <row r="278">
          <cell r="B278" t="str">
            <v>ENERGY LOSS IN WHEELING MSEB'S POWER (%)</v>
          </cell>
          <cell r="D278">
            <v>3.09</v>
          </cell>
        </row>
        <row r="279">
          <cell r="B279" t="str">
            <v>ENERGY LOSS IN WHEELING TPC'S POWER (%)</v>
          </cell>
          <cell r="D279">
            <v>2</v>
          </cell>
        </row>
        <row r="281">
          <cell r="B281" t="str">
            <v>PURCHASE ENERGY RATE (P/U)</v>
          </cell>
          <cell r="D281">
            <v>290</v>
          </cell>
        </row>
        <row r="282">
          <cell r="B282" t="str">
            <v>PURCHASE FAC RATE (P/U)</v>
          </cell>
          <cell r="D282">
            <v>0</v>
          </cell>
        </row>
        <row r="283">
          <cell r="B283" t="str">
            <v>ENERGY RATE FOR SALE TO MSEB (P/U)</v>
          </cell>
          <cell r="D283">
            <v>125.9</v>
          </cell>
        </row>
        <row r="284">
          <cell r="B284" t="str">
            <v>ENERGY RATE FOR SALE TO INTER STATE  UTILITIES (P/U)</v>
          </cell>
          <cell r="D284">
            <v>125.9</v>
          </cell>
        </row>
        <row r="285">
          <cell r="B285" t="str">
            <v>FAC RATE FOR SALE TO INTER STATE  UTILITIES (P/U)</v>
          </cell>
          <cell r="D285">
            <v>124.1</v>
          </cell>
        </row>
        <row r="286">
          <cell r="B286" t="str">
            <v>FAC RATE FOR SALE TO MSEB (P/U)</v>
          </cell>
          <cell r="D286">
            <v>124.1</v>
          </cell>
        </row>
        <row r="287">
          <cell r="B287" t="str">
            <v>PURCHASE MD RATE (Rs./KVA/MONTH)</v>
          </cell>
          <cell r="D287">
            <v>600</v>
          </cell>
        </row>
        <row r="289">
          <cell r="B289" t="str">
            <v>FUEL COST (Rs./MT) :</v>
          </cell>
        </row>
        <row r="290">
          <cell r="B290" t="str">
            <v>COAL</v>
          </cell>
          <cell r="D290">
            <v>2875</v>
          </cell>
        </row>
        <row r="291">
          <cell r="B291" t="str">
            <v>GAS</v>
          </cell>
          <cell r="D291">
            <v>4200</v>
          </cell>
        </row>
        <row r="292">
          <cell r="B292" t="str">
            <v>LSHS/ LSWR</v>
          </cell>
          <cell r="D292">
            <v>9760</v>
          </cell>
        </row>
        <row r="293">
          <cell r="B293" t="str">
            <v>-</v>
          </cell>
          <cell r="C293" t="str">
            <v>-</v>
          </cell>
          <cell r="D293" t="str">
            <v>-</v>
          </cell>
        </row>
        <row r="295">
          <cell r="B295" t="str">
            <v>Tariff :</v>
          </cell>
        </row>
        <row r="296">
          <cell r="C296" t="str">
            <v>MD</v>
          </cell>
          <cell r="D296" t="str">
            <v>RKVAH</v>
          </cell>
        </row>
        <row r="297">
          <cell r="C297" t="str">
            <v>(Rs./KVA)</v>
          </cell>
          <cell r="D297" t="str">
            <v>(P./RKVAH)</v>
          </cell>
        </row>
        <row r="298">
          <cell r="B298" t="str">
            <v>TEXTILES</v>
          </cell>
          <cell r="C298">
            <v>170</v>
          </cell>
          <cell r="D298">
            <v>0</v>
          </cell>
        </row>
        <row r="299">
          <cell r="B299" t="str">
            <v>HT INDUSTRIES</v>
          </cell>
          <cell r="C299">
            <v>170</v>
          </cell>
          <cell r="D299">
            <v>0</v>
          </cell>
        </row>
        <row r="300">
          <cell r="B300" t="str">
            <v>HT COMMERCIAL</v>
          </cell>
          <cell r="C300">
            <v>170</v>
          </cell>
          <cell r="D300">
            <v>0</v>
          </cell>
        </row>
        <row r="301">
          <cell r="B301" t="str">
            <v>LT INDUSTRIES (TWO PART TARIFF)</v>
          </cell>
          <cell r="C301">
            <v>175</v>
          </cell>
          <cell r="D301">
            <v>0</v>
          </cell>
        </row>
        <row r="302">
          <cell r="B302" t="str">
            <v>LT COMMERCIAL (TWO PART TARIFF)</v>
          </cell>
          <cell r="C302">
            <v>175</v>
          </cell>
          <cell r="D302">
            <v>0</v>
          </cell>
        </row>
        <row r="303">
          <cell r="B303" t="str">
            <v>RAILWAYS</v>
          </cell>
          <cell r="C303">
            <v>170</v>
          </cell>
          <cell r="D303">
            <v>0</v>
          </cell>
        </row>
        <row r="304">
          <cell r="B304" t="str">
            <v>BEST</v>
          </cell>
          <cell r="C304">
            <v>170</v>
          </cell>
          <cell r="D304">
            <v>0</v>
          </cell>
        </row>
        <row r="305">
          <cell r="B305" t="str">
            <v>BSES (22/33 KV)</v>
          </cell>
          <cell r="C305">
            <v>200</v>
          </cell>
          <cell r="D305">
            <v>0</v>
          </cell>
        </row>
        <row r="306">
          <cell r="B306" t="str">
            <v>BSES (220 KV)</v>
          </cell>
          <cell r="D306">
            <v>0</v>
          </cell>
        </row>
        <row r="307">
          <cell r="B307" t="str">
            <v>MSEB 22 KV</v>
          </cell>
          <cell r="D307">
            <v>0</v>
          </cell>
        </row>
        <row r="308">
          <cell r="B308" t="str">
            <v>ENERGY RATE (P/KWH) :</v>
          </cell>
        </row>
        <row r="309">
          <cell r="B309" t="str">
            <v>TEXTILES</v>
          </cell>
          <cell r="C309">
            <v>197</v>
          </cell>
        </row>
        <row r="310">
          <cell r="B310" t="str">
            <v>HT INDUSTRIES</v>
          </cell>
          <cell r="C310">
            <v>197</v>
          </cell>
        </row>
        <row r="311">
          <cell r="B311" t="str">
            <v>HT COMMERCIAL</v>
          </cell>
          <cell r="C311">
            <v>197</v>
          </cell>
        </row>
        <row r="312">
          <cell r="B312" t="str">
            <v>LT INDUSTRIES (SINGLE PART TARIFF)</v>
          </cell>
          <cell r="C312">
            <v>272</v>
          </cell>
        </row>
        <row r="313">
          <cell r="B313" t="str">
            <v>LT INDUSTRIES (TWO PART TARIFF)</v>
          </cell>
          <cell r="C313">
            <v>202</v>
          </cell>
        </row>
        <row r="314">
          <cell r="B314" t="str">
            <v>LT COMMERCIAL (SINGLE PART TARIFF)</v>
          </cell>
          <cell r="C314">
            <v>272</v>
          </cell>
        </row>
        <row r="315">
          <cell r="B315" t="str">
            <v>LT COMMERCIAL (TWO PART TARIFF)</v>
          </cell>
          <cell r="C315">
            <v>202</v>
          </cell>
        </row>
        <row r="316">
          <cell r="B316" t="str">
            <v>RESIDENTIAL</v>
          </cell>
          <cell r="C316">
            <v>212.75</v>
          </cell>
        </row>
        <row r="317">
          <cell r="B317" t="str">
            <v>RAILWAYS</v>
          </cell>
          <cell r="C317">
            <v>197</v>
          </cell>
        </row>
        <row r="318">
          <cell r="B318" t="str">
            <v>BEST</v>
          </cell>
          <cell r="C318">
            <v>177</v>
          </cell>
        </row>
        <row r="319">
          <cell r="B319" t="str">
            <v>BSES</v>
          </cell>
          <cell r="C319">
            <v>177</v>
          </cell>
        </row>
        <row r="320">
          <cell r="B320" t="str">
            <v>BSES 220 KV</v>
          </cell>
          <cell r="C320">
            <v>209</v>
          </cell>
        </row>
        <row r="321">
          <cell r="B321" t="str">
            <v>BASIC COST OF FUEL (Rs./MKCL)</v>
          </cell>
          <cell r="C321">
            <v>325</v>
          </cell>
        </row>
        <row r="322">
          <cell r="B322" t="str">
            <v>-</v>
          </cell>
        </row>
        <row r="323">
          <cell r="B323" t="str">
            <v>CALORIFIC VALUES (MKCL/MT) :</v>
          </cell>
        </row>
        <row r="324">
          <cell r="B324" t="str">
            <v>COAL</v>
          </cell>
          <cell r="C324">
            <v>5.1278223000000001</v>
          </cell>
        </row>
        <row r="325">
          <cell r="B325" t="str">
            <v>GAS</v>
          </cell>
          <cell r="C325">
            <v>13</v>
          </cell>
        </row>
        <row r="326">
          <cell r="B326" t="str">
            <v>LSHS/ LSWR</v>
          </cell>
          <cell r="C326">
            <v>10.5</v>
          </cell>
        </row>
        <row r="328">
          <cell r="B328" t="str">
            <v>HEAT RATES &amp; AUXILIARY CONSUMPTION</v>
          </cell>
          <cell r="C328" t="str">
            <v>HEAT RATE</v>
          </cell>
          <cell r="D328" t="str">
            <v>AUX.CONS.</v>
          </cell>
        </row>
        <row r="329">
          <cell r="C329" t="str">
            <v>MKCL/MU</v>
          </cell>
          <cell r="D329" t="str">
            <v>(%)</v>
          </cell>
        </row>
        <row r="330">
          <cell r="B330" t="str">
            <v>------------------------------------</v>
          </cell>
          <cell r="C330" t="str">
            <v>-</v>
          </cell>
          <cell r="D330" t="str">
            <v>-</v>
          </cell>
        </row>
        <row r="332">
          <cell r="B332" t="str">
            <v>UNIT NO.4</v>
          </cell>
          <cell r="C332">
            <v>2600</v>
          </cell>
          <cell r="D332">
            <v>10</v>
          </cell>
        </row>
        <row r="333">
          <cell r="B333" t="str">
            <v>UNIT NO.5</v>
          </cell>
          <cell r="C333">
            <v>2430</v>
          </cell>
          <cell r="D333">
            <v>5</v>
          </cell>
        </row>
        <row r="334">
          <cell r="B334" t="str">
            <v>UNIT NO.6</v>
          </cell>
          <cell r="C334">
            <v>2380</v>
          </cell>
          <cell r="D334">
            <v>4</v>
          </cell>
        </row>
        <row r="335">
          <cell r="B335" t="str">
            <v>UNIT NO.7 AS GT</v>
          </cell>
          <cell r="C335">
            <v>2850</v>
          </cell>
          <cell r="D335">
            <v>2.1</v>
          </cell>
        </row>
        <row r="336">
          <cell r="B336" t="str">
            <v>UNIT NO.7</v>
          </cell>
          <cell r="C336">
            <v>2000</v>
          </cell>
          <cell r="D336">
            <v>2</v>
          </cell>
        </row>
        <row r="337">
          <cell r="B337" t="str">
            <v>HYDRO</v>
          </cell>
          <cell r="D337">
            <v>0.5</v>
          </cell>
        </row>
        <row r="339">
          <cell r="B339" t="str">
            <v>TAXABLE SALES</v>
          </cell>
          <cell r="C339">
            <v>91</v>
          </cell>
          <cell r="D339" t="str">
            <v>%</v>
          </cell>
        </row>
        <row r="340">
          <cell r="B340" t="str">
            <v xml:space="preserve">TAX ON  SALE RATE </v>
          </cell>
          <cell r="C340">
            <v>15</v>
          </cell>
          <cell r="D340" t="str">
            <v>(P/KWH)</v>
          </cell>
        </row>
        <row r="342">
          <cell r="B342" t="str">
            <v>T T &amp; D LOSSES</v>
          </cell>
          <cell r="C342">
            <v>2.2999999999999998</v>
          </cell>
          <cell r="D342" t="str">
            <v>%</v>
          </cell>
        </row>
      </sheetData>
      <sheetData sheetId="2" refreshError="1"/>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04|71"/>
      <sheetName val="03-04|72"/>
      <sheetName val="03-04|74"/>
      <sheetName val="03-04|75"/>
      <sheetName val="03-04|76"/>
      <sheetName val="03-04|77"/>
      <sheetName val="03-04|79"/>
      <sheetName val="03-04|83"/>
      <sheetName val="03-04|Master"/>
      <sheetName val="04REL"/>
      <sheetName val="A 3.7"/>
      <sheetName val="CE"/>
      <sheetName val="201-04REL-Final"/>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04|71"/>
      <sheetName val="03-04|72"/>
      <sheetName val="03-04|74"/>
      <sheetName val="03-04|75"/>
      <sheetName val="03-04|76"/>
      <sheetName val="03-04|77"/>
      <sheetName val="03-04|79"/>
      <sheetName val="03-04|83"/>
      <sheetName val="03-04|Master"/>
      <sheetName val="04REL"/>
      <sheetName val="A 3.7"/>
      <sheetName val="CE"/>
      <sheetName val="201-04REL-Final"/>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
      <sheetName val="Schedule 1"/>
      <sheetName val="BEST_17112006"/>
      <sheetName val="Cash at Bank"/>
      <sheetName val="B_S Group"/>
      <sheetName val="Notes"/>
      <sheetName val="P&amp;L Group"/>
    </sheetNames>
    <sheetDataSet>
      <sheetData sheetId="0" refreshError="1"/>
      <sheetData sheetId="1" refreshError="1">
        <row r="2">
          <cell r="B2" t="str">
            <v>SCHEDULE 1</v>
          </cell>
        </row>
      </sheetData>
      <sheetData sheetId="2" refreshError="1">
        <row r="13">
          <cell r="C13">
            <v>1</v>
          </cell>
        </row>
        <row r="15">
          <cell r="C15">
            <v>2</v>
          </cell>
        </row>
        <row r="20">
          <cell r="C20">
            <v>3</v>
          </cell>
        </row>
        <row r="30">
          <cell r="C30">
            <v>5</v>
          </cell>
        </row>
        <row r="77">
          <cell r="C77">
            <v>17</v>
          </cell>
        </row>
        <row r="111">
          <cell r="A111" t="str">
            <v>SCHEDULE 2</v>
          </cell>
        </row>
        <row r="128">
          <cell r="A128" t="str">
            <v>SCHEDULE 4</v>
          </cell>
        </row>
        <row r="165">
          <cell r="A165" t="str">
            <v>SCHEDULE 5</v>
          </cell>
        </row>
        <row r="174">
          <cell r="A174" t="str">
            <v>SCHEDULE 6</v>
          </cell>
        </row>
        <row r="206">
          <cell r="A206" t="str">
            <v>SCHEDULE 7</v>
          </cell>
        </row>
        <row r="225">
          <cell r="A225" t="str">
            <v>SCHEDULE 8</v>
          </cell>
        </row>
        <row r="248">
          <cell r="A248" t="str">
            <v>SCHEDULE 9</v>
          </cell>
        </row>
        <row r="303">
          <cell r="A303" t="str">
            <v>SCHEDULE 10</v>
          </cell>
        </row>
        <row r="358">
          <cell r="A358" t="str">
            <v>SCHEDULE 11</v>
          </cell>
        </row>
        <row r="364">
          <cell r="A364" t="str">
            <v>SCHEDULE 12</v>
          </cell>
        </row>
        <row r="381">
          <cell r="A381" t="str">
            <v>SCHEDULE 13</v>
          </cell>
        </row>
        <row r="391">
          <cell r="A391" t="str">
            <v>SCHEDULE 14</v>
          </cell>
        </row>
        <row r="415">
          <cell r="A415" t="str">
            <v>SCHEDULE 15</v>
          </cell>
          <cell r="D415" t="str">
            <v>in Lacs</v>
          </cell>
          <cell r="E415" t="str">
            <v>in Lacs</v>
          </cell>
          <cell r="F415" t="str">
            <v>in Lacs</v>
          </cell>
          <cell r="G415" t="str">
            <v>in Lacs</v>
          </cell>
          <cell r="H415" t="str">
            <v>in Lacs</v>
          </cell>
          <cell r="I415" t="str">
            <v>in Lacs</v>
          </cell>
          <cell r="J415" t="str">
            <v>in Lacs</v>
          </cell>
          <cell r="K415" t="str">
            <v>in Lacs</v>
          </cell>
          <cell r="L415" t="str">
            <v>in Lacs</v>
          </cell>
        </row>
        <row r="417">
          <cell r="A417" t="str">
            <v>Purchase of Electricity</v>
          </cell>
          <cell r="E417">
            <v>112229.46461</v>
          </cell>
          <cell r="G417">
            <v>0</v>
          </cell>
          <cell r="I417">
            <v>112229.46461</v>
          </cell>
          <cell r="J417">
            <v>108981.20299999999</v>
          </cell>
          <cell r="K417">
            <v>0</v>
          </cell>
          <cell r="L417">
            <v>108981.20299999999</v>
          </cell>
        </row>
        <row r="419">
          <cell r="B419" t="str">
            <v>TOTAL</v>
          </cell>
          <cell r="E419">
            <v>112229.46461</v>
          </cell>
          <cell r="G419">
            <v>0</v>
          </cell>
          <cell r="I419">
            <v>112229.46461</v>
          </cell>
          <cell r="J419">
            <v>108981.20299999999</v>
          </cell>
          <cell r="K419">
            <v>0</v>
          </cell>
          <cell r="L419">
            <v>108981.20299999999</v>
          </cell>
        </row>
        <row r="428">
          <cell r="A428" t="str">
            <v>SCHEDULE 16</v>
          </cell>
        </row>
        <row r="493">
          <cell r="A493" t="str">
            <v>SCHEDULE 17</v>
          </cell>
          <cell r="E493" t="str">
            <v>(31.03.2006)</v>
          </cell>
          <cell r="G493" t="str">
            <v>(31.03.2006)</v>
          </cell>
          <cell r="I493" t="str">
            <v>(31.03.2006)</v>
          </cell>
          <cell r="J493" t="str">
            <v>(31.03.2005)</v>
          </cell>
        </row>
        <row r="494">
          <cell r="A494" t="str">
            <v>INTEREST AND FINANCE CHARGES</v>
          </cell>
          <cell r="D494" t="str">
            <v>Rupees</v>
          </cell>
          <cell r="E494" t="str">
            <v>Rupees</v>
          </cell>
          <cell r="F494" t="str">
            <v>Rupees</v>
          </cell>
          <cell r="G494" t="str">
            <v>Rupees</v>
          </cell>
          <cell r="H494" t="str">
            <v>Rupees</v>
          </cell>
          <cell r="I494" t="str">
            <v>Rupees</v>
          </cell>
          <cell r="J494" t="str">
            <v>Rupees</v>
          </cell>
        </row>
        <row r="495">
          <cell r="D495" t="str">
            <v>in Lacs</v>
          </cell>
          <cell r="E495" t="str">
            <v>in Lacs</v>
          </cell>
          <cell r="F495" t="str">
            <v>in Lacs</v>
          </cell>
          <cell r="G495" t="str">
            <v>in Lacs</v>
          </cell>
          <cell r="H495" t="str">
            <v>in Lacs</v>
          </cell>
          <cell r="I495" t="str">
            <v>in Lacs</v>
          </cell>
          <cell r="J495" t="str">
            <v>in lacs</v>
          </cell>
        </row>
        <row r="497">
          <cell r="A497" t="str">
            <v>Interest Charges</v>
          </cell>
          <cell r="E497">
            <v>529.23343999999997</v>
          </cell>
          <cell r="J497">
            <v>389.13197000000002</v>
          </cell>
        </row>
        <row r="498">
          <cell r="B498" t="str">
            <v>TOTAL</v>
          </cell>
          <cell r="E498">
            <v>529.23343999999997</v>
          </cell>
          <cell r="I498">
            <v>0</v>
          </cell>
          <cell r="J498">
            <v>389.13197000000002</v>
          </cell>
        </row>
        <row r="503">
          <cell r="I503" t="str">
            <v>(31.03.2006)</v>
          </cell>
        </row>
        <row r="504">
          <cell r="A504" t="str">
            <v>SCHEDULE 18</v>
          </cell>
          <cell r="E504" t="str">
            <v>Year ended</v>
          </cell>
          <cell r="G504" t="str">
            <v>Year ended</v>
          </cell>
          <cell r="I504" t="str">
            <v>Year ended</v>
          </cell>
          <cell r="J504" t="str">
            <v>Year ended</v>
          </cell>
        </row>
        <row r="505">
          <cell r="A505" t="str">
            <v>PRIOR PERIOD ADJUSTMENTS</v>
          </cell>
          <cell r="E505" t="str">
            <v>(31.03.2006)</v>
          </cell>
          <cell r="G505" t="str">
            <v>(31.03.2006)</v>
          </cell>
          <cell r="I505" t="str">
            <v>(31.03.2006)</v>
          </cell>
          <cell r="J505" t="str">
            <v>(31.03.2005)</v>
          </cell>
        </row>
        <row r="506">
          <cell r="D506" t="str">
            <v>Rupees</v>
          </cell>
          <cell r="E506" t="str">
            <v>Rupees</v>
          </cell>
          <cell r="F506" t="str">
            <v>Rupees</v>
          </cell>
          <cell r="G506" t="str">
            <v>Rupees</v>
          </cell>
          <cell r="H506" t="str">
            <v>Rupees</v>
          </cell>
          <cell r="I506" t="str">
            <v>Rupees</v>
          </cell>
          <cell r="J506" t="str">
            <v>Rupees</v>
          </cell>
        </row>
        <row r="507">
          <cell r="D507" t="str">
            <v>in Lacs</v>
          </cell>
          <cell r="E507" t="str">
            <v>in Lacs</v>
          </cell>
          <cell r="F507" t="str">
            <v>in Lacs</v>
          </cell>
          <cell r="G507" t="str">
            <v>in Lacs</v>
          </cell>
          <cell r="H507" t="str">
            <v>in Lacs</v>
          </cell>
          <cell r="I507" t="str">
            <v>in Lacs</v>
          </cell>
          <cell r="J507" t="str">
            <v>in lacs</v>
          </cell>
        </row>
        <row r="508">
          <cell r="A508" t="str">
            <v>PRIOR PERIOD INCOME</v>
          </cell>
        </row>
        <row r="510">
          <cell r="A510" t="str">
            <v>Profit on Sale of Asset</v>
          </cell>
          <cell r="E510">
            <v>3146.1492244926098</v>
          </cell>
          <cell r="I510">
            <v>0</v>
          </cell>
        </row>
        <row r="511">
          <cell r="A511" t="str">
            <v>Supply Division</v>
          </cell>
          <cell r="E511">
            <v>1320.6718354000002</v>
          </cell>
          <cell r="I511">
            <v>0</v>
          </cell>
        </row>
        <row r="513">
          <cell r="E513">
            <v>4466.8210598926098</v>
          </cell>
          <cell r="I513">
            <v>0</v>
          </cell>
        </row>
        <row r="514">
          <cell r="A514" t="str">
            <v>PRIOR PERIOD EXPENSE</v>
          </cell>
        </row>
        <row r="516">
          <cell r="A516" t="str">
            <v>Supply Division</v>
          </cell>
          <cell r="E516">
            <v>0</v>
          </cell>
          <cell r="I516">
            <v>155.5388762</v>
          </cell>
          <cell r="J516">
            <v>277.23556259999998</v>
          </cell>
          <cell r="K516">
            <v>0</v>
          </cell>
          <cell r="L516">
            <v>277.23556259999998</v>
          </cell>
        </row>
        <row r="517">
          <cell r="A517" t="str">
            <v>General Administration</v>
          </cell>
          <cell r="E517">
            <v>53.643831695999999</v>
          </cell>
          <cell r="I517">
            <v>53.643831695999999</v>
          </cell>
          <cell r="J517">
            <v>326.71346051799998</v>
          </cell>
          <cell r="K517">
            <v>0</v>
          </cell>
          <cell r="L517">
            <v>326.71346051799998</v>
          </cell>
        </row>
        <row r="519">
          <cell r="B519" t="str">
            <v>TOTAL</v>
          </cell>
          <cell r="E519">
            <v>-4413.1772281966096</v>
          </cell>
          <cell r="I519">
            <v>209.18270789600001</v>
          </cell>
          <cell r="J519">
            <v>603.94902311800001</v>
          </cell>
          <cell r="L519">
            <v>603.94902311800001</v>
          </cell>
        </row>
        <row r="541">
          <cell r="A541" t="str">
            <v>SCHEDULE 3</v>
          </cell>
        </row>
      </sheetData>
      <sheetData sheetId="3" refreshError="1"/>
      <sheetData sheetId="4" refreshError="1">
        <row r="15">
          <cell r="H15" t="str">
            <v>See Notes 1</v>
          </cell>
        </row>
        <row r="20">
          <cell r="H20" t="str">
            <v>See Notes 1</v>
          </cell>
        </row>
        <row r="21">
          <cell r="H21" t="str">
            <v>(Refer Note2)</v>
          </cell>
        </row>
        <row r="23">
          <cell r="H23" t="str">
            <v>Note 3</v>
          </cell>
        </row>
        <row r="31">
          <cell r="H31" t="str">
            <v>Notes 4</v>
          </cell>
        </row>
        <row r="46">
          <cell r="H46" t="str">
            <v>See Notes 5</v>
          </cell>
        </row>
        <row r="67">
          <cell r="H67" t="str">
            <v>Notes 6</v>
          </cell>
        </row>
        <row r="83">
          <cell r="H83" t="str">
            <v>Notes 7</v>
          </cell>
        </row>
        <row r="94">
          <cell r="H94" t="str">
            <v>Notes 8</v>
          </cell>
        </row>
        <row r="103">
          <cell r="H103" t="str">
            <v>Notes 9</v>
          </cell>
        </row>
        <row r="107">
          <cell r="H107" t="str">
            <v>Notes 10</v>
          </cell>
        </row>
        <row r="120">
          <cell r="H120" t="str">
            <v>Notes  11</v>
          </cell>
        </row>
        <row r="129">
          <cell r="H129" t="str">
            <v>Notes 12</v>
          </cell>
        </row>
        <row r="161">
          <cell r="H161" t="str">
            <v>Notes 13</v>
          </cell>
        </row>
        <row r="199">
          <cell r="H199" t="str">
            <v>Notes 14</v>
          </cell>
        </row>
        <row r="213">
          <cell r="H213" t="str">
            <v>Notes 16</v>
          </cell>
        </row>
        <row r="229">
          <cell r="H229" t="str">
            <v>Note 26</v>
          </cell>
        </row>
        <row r="251">
          <cell r="H251" t="str">
            <v>Notes 17</v>
          </cell>
        </row>
        <row r="258">
          <cell r="H258" t="str">
            <v xml:space="preserve"> Notes 18</v>
          </cell>
        </row>
        <row r="269">
          <cell r="H269" t="str">
            <v>Notes 19</v>
          </cell>
        </row>
        <row r="277">
          <cell r="H277" t="str">
            <v>Notes 20</v>
          </cell>
        </row>
        <row r="284">
          <cell r="H284" t="str">
            <v>Notes 21</v>
          </cell>
        </row>
        <row r="303">
          <cell r="H303" t="str">
            <v>Notes 22</v>
          </cell>
        </row>
        <row r="348">
          <cell r="H348" t="str">
            <v>Notes 23</v>
          </cell>
        </row>
        <row r="349">
          <cell r="H349" t="str">
            <v>Notes 24</v>
          </cell>
        </row>
        <row r="434">
          <cell r="H434" t="str">
            <v>Notes 25</v>
          </cell>
        </row>
      </sheetData>
      <sheetData sheetId="5" refreshError="1">
        <row r="3">
          <cell r="A3" t="str">
            <v>1)</v>
          </cell>
        </row>
        <row r="6">
          <cell r="A6" t="str">
            <v>2)</v>
          </cell>
        </row>
        <row r="8">
          <cell r="A8" t="str">
            <v>3)</v>
          </cell>
        </row>
        <row r="13">
          <cell r="A13">
            <v>4</v>
          </cell>
        </row>
        <row r="15">
          <cell r="A15">
            <v>5</v>
          </cell>
        </row>
        <row r="17">
          <cell r="A17">
            <v>6</v>
          </cell>
        </row>
        <row r="19">
          <cell r="A19">
            <v>7</v>
          </cell>
        </row>
        <row r="21">
          <cell r="A21">
            <v>8</v>
          </cell>
        </row>
        <row r="23">
          <cell r="A23">
            <v>9</v>
          </cell>
        </row>
        <row r="27">
          <cell r="A27">
            <v>11</v>
          </cell>
        </row>
        <row r="31">
          <cell r="A31">
            <v>13</v>
          </cell>
        </row>
        <row r="33">
          <cell r="A33">
            <v>14</v>
          </cell>
        </row>
        <row r="35">
          <cell r="A35">
            <v>15</v>
          </cell>
        </row>
        <row r="39">
          <cell r="A39">
            <v>17</v>
          </cell>
        </row>
        <row r="43">
          <cell r="A43">
            <v>19</v>
          </cell>
        </row>
        <row r="47">
          <cell r="A47">
            <v>21</v>
          </cell>
        </row>
        <row r="49">
          <cell r="A49">
            <v>22</v>
          </cell>
        </row>
        <row r="51">
          <cell r="A51">
            <v>23</v>
          </cell>
        </row>
        <row r="53">
          <cell r="A53">
            <v>24</v>
          </cell>
        </row>
        <row r="55">
          <cell r="A55">
            <v>25</v>
          </cell>
        </row>
        <row r="61">
          <cell r="A61">
            <v>26</v>
          </cell>
        </row>
      </sheetData>
      <sheetData sheetId="6" refreshError="1">
        <row r="24">
          <cell r="F24" t="str">
            <v>See Annexure B</v>
          </cell>
        </row>
        <row r="58">
          <cell r="A58" t="str">
            <v>(ANNEXURE 'A')</v>
          </cell>
        </row>
        <row r="68">
          <cell r="A68" t="str">
            <v>(ANNEXURE 'A')</v>
          </cell>
        </row>
        <row r="90">
          <cell r="A90" t="str">
            <v>ANNEXURE( B )</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96상2"/>
      <sheetName val="해외 기술훈련비 (합계)"/>
      <sheetName val="해외 연수비용 계산-삭제"/>
      <sheetName val="Book2"/>
      <sheetName val="카메라"/>
      <sheetName val="#REF"/>
      <sheetName val="자바라1"/>
      <sheetName val="투자종합 (2)"/>
      <sheetName val="해외_기술훈련비_(합계)"/>
      <sheetName val="해외_연수비용_계산-삭제"/>
      <sheetName val="투자종합_(2)"/>
      <sheetName val="BS_CF"/>
      <sheetName val="Input"/>
      <sheetName val="BS SPAIN"/>
      <sheetName val="CASH FLOW ANALYSIS SUMMARY  M"/>
      <sheetName val="UTIL"/>
      <sheetName val="Commissioning Date"/>
      <sheetName val="해외_기술훈련비_(합계)1"/>
      <sheetName val="해외_연수비용_계산-삭제1"/>
      <sheetName val="투자종합_(2)1"/>
      <sheetName val="예가표"/>
    </sheetNames>
    <definedNames>
      <definedName name="BULYANGPNT"/>
      <definedName name="GUESTPNT"/>
      <definedName name="MONITORPNT"/>
      <definedName name="RTPNT"/>
      <definedName name="UTPNT"/>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상반기손익차2총괄"/>
      <sheetName val="자바라1"/>
      <sheetName val="#REF"/>
      <sheetName val="설산1_나1"/>
      <sheetName val="본사S"/>
      <sheetName val="현장지지물물량"/>
      <sheetName val="Financial_Estimates"/>
      <sheetName val="Financial_Estimates1"/>
      <sheetName val="CMA_Calculations"/>
      <sheetName val="Schedule_7030"/>
      <sheetName val="Effective_Rates"/>
      <sheetName val="Sheet2"/>
      <sheetName val="Inputs"/>
      <sheetName val="jul03"/>
      <sheetName val="COMPLEXALL"/>
      <sheetName val="Forward"/>
      <sheetName val="Option"/>
      <sheetName val="IDC_revised"/>
      <sheetName val="Schedule_with_cap"/>
      <sheetName val="MOB-MAN1"/>
      <sheetName val="Hedges"/>
      <sheetName val="계측"/>
      <sheetName val="FAC_(Running_FAC)"/>
      <sheetName val="Sheet10"/>
      <sheetName val="Sheet6"/>
      <sheetName val="Sheet11"/>
      <sheetName val="Deals"/>
      <sheetName val="Daily_approval"/>
      <sheetName val="CondPol"/>
      <sheetName val="Trend"/>
      <sheetName val="_FURNACE현설"/>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현장배관물량집계"/>
      <sheetName val="현장SUPP'T물량집계"/>
      <sheetName val="Valve집계"/>
      <sheetName val="현장배관물량"/>
      <sheetName val="현장지지물물량"/>
      <sheetName val="현장집계3"/>
      <sheetName val="Sheet1"/>
      <sheetName val="설산1_나"/>
      <sheetName val="본사S"/>
      <sheetName val="설산1.나"/>
      <sheetName val="License Area"/>
      <sheetName val="Input"/>
      <sheetName val="Sundry Debtors"/>
    </sheetNames>
    <sheetDataSet>
      <sheetData sheetId="0"/>
      <sheetData sheetId="1"/>
      <sheetData sheetId="2"/>
      <sheetData sheetId="3"/>
      <sheetData sheetId="4" refreshError="1">
        <row r="1">
          <cell r="F1" t="str">
            <v>*********************************</v>
          </cell>
        </row>
        <row r="2">
          <cell r="F2" t="str">
            <v>*****   FIELD FAB. SUPPORT  *****</v>
          </cell>
        </row>
        <row r="3">
          <cell r="F3" t="str">
            <v>*********************************</v>
          </cell>
        </row>
        <row r="4">
          <cell r="A4" t="str">
            <v>=</v>
          </cell>
          <cell r="B4" t="str">
            <v>=</v>
          </cell>
          <cell r="C4" t="str">
            <v>=</v>
          </cell>
          <cell r="D4" t="str">
            <v>=</v>
          </cell>
          <cell r="E4" t="str">
            <v>=</v>
          </cell>
          <cell r="F4" t="str">
            <v>=</v>
          </cell>
          <cell r="G4" t="str">
            <v>=</v>
          </cell>
          <cell r="H4" t="str">
            <v>=</v>
          </cell>
          <cell r="I4" t="str">
            <v>=</v>
          </cell>
          <cell r="J4" t="str">
            <v>=</v>
          </cell>
          <cell r="K4" t="str">
            <v>=</v>
          </cell>
          <cell r="L4" t="str">
            <v>=</v>
          </cell>
          <cell r="M4" t="str">
            <v>=</v>
          </cell>
          <cell r="N4" t="str">
            <v>=</v>
          </cell>
          <cell r="Q4" t="str">
            <v>=</v>
          </cell>
        </row>
        <row r="5">
          <cell r="A5" t="str">
            <v>DWG.NO.</v>
          </cell>
          <cell r="B5" t="str">
            <v>SPEC</v>
          </cell>
          <cell r="C5" t="str">
            <v>ITEM</v>
          </cell>
          <cell r="D5" t="str">
            <v>MATERIAL</v>
          </cell>
          <cell r="E5" t="str">
            <v xml:space="preserve">    SIZE</v>
          </cell>
          <cell r="F5" t="str">
            <v>LANGTH</v>
          </cell>
          <cell r="G5" t="str">
            <v>SYS.-DIA</v>
          </cell>
          <cell r="H5" t="str">
            <v>TOTAL</v>
          </cell>
          <cell r="I5" t="str">
            <v>ELEVATION</v>
          </cell>
          <cell r="K5" t="str">
            <v>IN/OUT</v>
          </cell>
          <cell r="L5" t="str">
            <v>UNIT WT</v>
          </cell>
          <cell r="M5" t="str">
            <v>TOTAL WT</v>
          </cell>
          <cell r="N5" t="str">
            <v>REMARK</v>
          </cell>
          <cell r="P5" t="str">
            <v>SET</v>
          </cell>
          <cell r="Q5" t="str">
            <v>Q'TY</v>
          </cell>
        </row>
        <row r="6">
          <cell r="A6" t="str">
            <v>=</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t="str">
            <v>=</v>
          </cell>
          <cell r="Q6" t="str">
            <v>=</v>
          </cell>
        </row>
        <row r="8">
          <cell r="A8" t="str">
            <v>03980-001</v>
          </cell>
          <cell r="C8" t="str">
            <v>H-BEAM</v>
          </cell>
          <cell r="D8" t="str">
            <v>C S</v>
          </cell>
          <cell r="E8" t="str">
            <v>H100x100x6x8</v>
          </cell>
          <cell r="F8">
            <v>670</v>
          </cell>
          <cell r="G8" t="str">
            <v>71200- 80</v>
          </cell>
          <cell r="H8">
            <v>1</v>
          </cell>
          <cell r="I8" t="str">
            <v>7150/5900</v>
          </cell>
        </row>
        <row r="9">
          <cell r="A9" t="str">
            <v>03980-001</v>
          </cell>
          <cell r="C9" t="str">
            <v>H-BEAM</v>
          </cell>
          <cell r="D9" t="str">
            <v>C S</v>
          </cell>
          <cell r="E9" t="str">
            <v>H100x100x6x8</v>
          </cell>
          <cell r="F9">
            <v>820</v>
          </cell>
          <cell r="G9" t="str">
            <v>71200- 80</v>
          </cell>
          <cell r="H9">
            <v>1</v>
          </cell>
          <cell r="I9" t="str">
            <v>7150/5900</v>
          </cell>
        </row>
        <row r="10">
          <cell r="A10" t="str">
            <v>03980-001</v>
          </cell>
          <cell r="C10" t="str">
            <v>CT</v>
          </cell>
          <cell r="D10" t="str">
            <v>C S</v>
          </cell>
          <cell r="E10" t="str">
            <v>CT100x150x6x9</v>
          </cell>
          <cell r="F10">
            <v>300</v>
          </cell>
          <cell r="G10" t="str">
            <v>71200- 80</v>
          </cell>
          <cell r="H10">
            <v>1</v>
          </cell>
          <cell r="I10" t="str">
            <v>7150/5900</v>
          </cell>
        </row>
        <row r="11">
          <cell r="A11" t="str">
            <v>03980-001</v>
          </cell>
          <cell r="C11" t="str">
            <v>PLATE</v>
          </cell>
          <cell r="D11" t="str">
            <v>C S</v>
          </cell>
          <cell r="E11" t="str">
            <v>PL103x70x9t</v>
          </cell>
          <cell r="G11" t="str">
            <v>71200- 80</v>
          </cell>
          <cell r="H11">
            <v>4</v>
          </cell>
          <cell r="I11" t="str">
            <v>7150/5900</v>
          </cell>
        </row>
        <row r="12">
          <cell r="A12" t="str">
            <v>03980-001</v>
          </cell>
          <cell r="C12" t="str">
            <v>CT</v>
          </cell>
          <cell r="D12" t="str">
            <v>C S</v>
          </cell>
          <cell r="E12" t="str">
            <v>CT100x100x5.5x8</v>
          </cell>
          <cell r="F12">
            <v>150</v>
          </cell>
          <cell r="G12" t="str">
            <v>71200- 50</v>
          </cell>
          <cell r="H12">
            <v>1</v>
          </cell>
          <cell r="I12" t="str">
            <v>7150/5900</v>
          </cell>
        </row>
        <row r="14">
          <cell r="A14" t="str">
            <v>03980-002</v>
          </cell>
          <cell r="C14" t="str">
            <v>H-BEAM</v>
          </cell>
          <cell r="D14" t="str">
            <v>C S</v>
          </cell>
          <cell r="E14" t="str">
            <v>H100x100x6x8</v>
          </cell>
          <cell r="F14">
            <v>670</v>
          </cell>
          <cell r="G14" t="str">
            <v>71200- 80</v>
          </cell>
          <cell r="H14">
            <v>1</v>
          </cell>
          <cell r="I14" t="str">
            <v>7150/5900</v>
          </cell>
        </row>
        <row r="15">
          <cell r="A15" t="str">
            <v>03980-002</v>
          </cell>
          <cell r="C15" t="str">
            <v>H-BEAM</v>
          </cell>
          <cell r="D15" t="str">
            <v>C S</v>
          </cell>
          <cell r="E15" t="str">
            <v>H100x100x6x8</v>
          </cell>
          <cell r="F15">
            <v>550</v>
          </cell>
          <cell r="G15" t="str">
            <v>71200- 80</v>
          </cell>
          <cell r="H15">
            <v>1</v>
          </cell>
          <cell r="I15" t="str">
            <v>7150/5900</v>
          </cell>
        </row>
        <row r="16">
          <cell r="A16" t="str">
            <v>03980-002</v>
          </cell>
          <cell r="C16" t="str">
            <v>CT</v>
          </cell>
          <cell r="D16" t="str">
            <v>C S</v>
          </cell>
          <cell r="E16" t="str">
            <v>CT100x150x6x9</v>
          </cell>
          <cell r="F16">
            <v>300</v>
          </cell>
          <cell r="G16" t="str">
            <v>71200- 80</v>
          </cell>
          <cell r="H16">
            <v>1</v>
          </cell>
          <cell r="I16" t="str">
            <v>7150/5900</v>
          </cell>
        </row>
        <row r="17">
          <cell r="A17" t="str">
            <v>03980-002</v>
          </cell>
          <cell r="C17" t="str">
            <v>PLATE</v>
          </cell>
          <cell r="D17" t="str">
            <v>C S</v>
          </cell>
          <cell r="E17" t="str">
            <v>PL103x70x9t</v>
          </cell>
          <cell r="G17" t="str">
            <v>71200- 80</v>
          </cell>
          <cell r="H17">
            <v>4</v>
          </cell>
          <cell r="I17" t="str">
            <v>7150/5900</v>
          </cell>
        </row>
        <row r="19">
          <cell r="A19" t="str">
            <v>03980-003</v>
          </cell>
          <cell r="C19" t="str">
            <v>CT</v>
          </cell>
          <cell r="D19" t="str">
            <v>C S</v>
          </cell>
          <cell r="E19" t="str">
            <v>CT100x150x6x9</v>
          </cell>
          <cell r="F19">
            <v>300</v>
          </cell>
          <cell r="G19" t="str">
            <v>71200- 80</v>
          </cell>
          <cell r="H19">
            <v>1</v>
          </cell>
          <cell r="I19" t="str">
            <v>7150/5900</v>
          </cell>
        </row>
        <row r="20">
          <cell r="A20" t="str">
            <v>03980-003</v>
          </cell>
          <cell r="C20" t="str">
            <v>PLATE</v>
          </cell>
          <cell r="D20" t="str">
            <v>C S</v>
          </cell>
          <cell r="E20" t="str">
            <v>PL103x70x9t</v>
          </cell>
          <cell r="G20" t="str">
            <v>71200- 80</v>
          </cell>
          <cell r="H20">
            <v>8</v>
          </cell>
          <cell r="I20" t="str">
            <v>7150/5900</v>
          </cell>
        </row>
        <row r="21">
          <cell r="A21" t="str">
            <v>03980-003</v>
          </cell>
          <cell r="C21" t="str">
            <v>PLATE</v>
          </cell>
          <cell r="D21" t="str">
            <v>C S</v>
          </cell>
          <cell r="E21" t="str">
            <v>PL100x50x12t</v>
          </cell>
          <cell r="G21" t="str">
            <v>71200- 80</v>
          </cell>
          <cell r="H21">
            <v>4</v>
          </cell>
          <cell r="I21" t="str">
            <v>7150/5900</v>
          </cell>
        </row>
        <row r="22">
          <cell r="A22" t="str">
            <v>03980-003</v>
          </cell>
          <cell r="C22" t="str">
            <v>PLATE</v>
          </cell>
          <cell r="D22" t="str">
            <v>C S</v>
          </cell>
          <cell r="E22" t="str">
            <v>PL80x50x9t</v>
          </cell>
          <cell r="G22" t="str">
            <v>71200- 80</v>
          </cell>
          <cell r="H22">
            <v>4</v>
          </cell>
          <cell r="I22" t="str">
            <v>7150/5900</v>
          </cell>
        </row>
        <row r="24">
          <cell r="A24" t="str">
            <v>03980-004</v>
          </cell>
          <cell r="C24" t="str">
            <v>CT</v>
          </cell>
          <cell r="D24" t="str">
            <v>C S</v>
          </cell>
          <cell r="E24" t="str">
            <v>CT100x150x6x9</v>
          </cell>
          <cell r="F24">
            <v>300</v>
          </cell>
          <cell r="G24" t="str">
            <v>71200- 80</v>
          </cell>
          <cell r="H24">
            <v>1</v>
          </cell>
          <cell r="I24" t="str">
            <v>7150/5900</v>
          </cell>
        </row>
        <row r="25">
          <cell r="A25" t="str">
            <v>03980-004</v>
          </cell>
          <cell r="C25" t="str">
            <v>PLATE</v>
          </cell>
          <cell r="D25" t="str">
            <v>C S</v>
          </cell>
          <cell r="E25" t="str">
            <v>PL103x70x9t</v>
          </cell>
          <cell r="G25" t="str">
            <v>71200- 80</v>
          </cell>
          <cell r="H25">
            <v>4</v>
          </cell>
          <cell r="I25" t="str">
            <v>7150/5900</v>
          </cell>
        </row>
        <row r="27">
          <cell r="A27" t="str">
            <v>03980-005</v>
          </cell>
          <cell r="C27" t="str">
            <v>H-BEAM</v>
          </cell>
          <cell r="D27" t="str">
            <v>C S</v>
          </cell>
          <cell r="E27" t="str">
            <v>H100x100x6x8</v>
          </cell>
          <cell r="F27">
            <v>450</v>
          </cell>
          <cell r="G27" t="str">
            <v>71200- 80</v>
          </cell>
          <cell r="H27">
            <v>1</v>
          </cell>
          <cell r="I27" t="str">
            <v>7150/5900</v>
          </cell>
        </row>
        <row r="28">
          <cell r="A28" t="str">
            <v>03980-005</v>
          </cell>
          <cell r="C28" t="str">
            <v>3-BOLT PIPE CLAMP</v>
          </cell>
          <cell r="D28" t="str">
            <v>C S</v>
          </cell>
          <cell r="E28" t="str">
            <v>DN 80</v>
          </cell>
          <cell r="G28" t="str">
            <v>71200- 80</v>
          </cell>
          <cell r="H28">
            <v>1</v>
          </cell>
          <cell r="I28" t="str">
            <v>7150/5900</v>
          </cell>
        </row>
        <row r="29">
          <cell r="A29" t="str">
            <v>03980-005</v>
          </cell>
          <cell r="C29" t="str">
            <v>WEL'D BEAM ATTACH.</v>
          </cell>
          <cell r="D29" t="str">
            <v>C S</v>
          </cell>
          <cell r="E29" t="str">
            <v>M12</v>
          </cell>
          <cell r="G29" t="str">
            <v>71200- 80</v>
          </cell>
          <cell r="H29">
            <v>1</v>
          </cell>
          <cell r="I29" t="str">
            <v>7150/5900</v>
          </cell>
        </row>
        <row r="30">
          <cell r="A30" t="str">
            <v>03980-005</v>
          </cell>
          <cell r="C30" t="str">
            <v>EYE NUT</v>
          </cell>
          <cell r="D30" t="str">
            <v>C S</v>
          </cell>
          <cell r="E30" t="str">
            <v>M12</v>
          </cell>
          <cell r="G30" t="str">
            <v>71200- 80</v>
          </cell>
          <cell r="H30">
            <v>2</v>
          </cell>
          <cell r="I30" t="str">
            <v>7150/5900</v>
          </cell>
        </row>
        <row r="31">
          <cell r="A31" t="str">
            <v>03980-005</v>
          </cell>
          <cell r="C31" t="str">
            <v>THR'D ROD R.H</v>
          </cell>
          <cell r="D31" t="str">
            <v>C S</v>
          </cell>
          <cell r="E31" t="str">
            <v>M12</v>
          </cell>
          <cell r="F31">
            <v>1000</v>
          </cell>
          <cell r="G31" t="str">
            <v>71200- 80</v>
          </cell>
          <cell r="H31">
            <v>1</v>
          </cell>
          <cell r="I31" t="str">
            <v>7150/5900</v>
          </cell>
        </row>
        <row r="32">
          <cell r="A32" t="str">
            <v>03980-005</v>
          </cell>
          <cell r="C32" t="str">
            <v>TURNBUCKLE</v>
          </cell>
          <cell r="D32" t="str">
            <v>C S</v>
          </cell>
          <cell r="E32" t="str">
            <v>M12</v>
          </cell>
          <cell r="G32" t="str">
            <v>71200- 80</v>
          </cell>
          <cell r="H32">
            <v>1</v>
          </cell>
          <cell r="I32" t="str">
            <v>7150/5900</v>
          </cell>
        </row>
        <row r="33">
          <cell r="A33" t="str">
            <v>03980-005</v>
          </cell>
          <cell r="C33" t="str">
            <v>THR'D ROD R.H&amp;L.H</v>
          </cell>
          <cell r="D33" t="str">
            <v>C S</v>
          </cell>
          <cell r="E33" t="str">
            <v>M12</v>
          </cell>
          <cell r="F33">
            <v>980</v>
          </cell>
          <cell r="G33" t="str">
            <v>71200- 80</v>
          </cell>
          <cell r="H33">
            <v>1</v>
          </cell>
          <cell r="I33" t="str">
            <v>7150/5900</v>
          </cell>
        </row>
        <row r="35">
          <cell r="A35" t="str">
            <v>03980-006</v>
          </cell>
          <cell r="C35" t="str">
            <v>H-BEAM</v>
          </cell>
          <cell r="D35" t="str">
            <v>C S</v>
          </cell>
          <cell r="E35" t="str">
            <v>H100x100x6x8</v>
          </cell>
          <cell r="F35">
            <v>550</v>
          </cell>
          <cell r="G35" t="str">
            <v>71200- 80</v>
          </cell>
          <cell r="H35">
            <v>1</v>
          </cell>
          <cell r="I35" t="str">
            <v>7150/5900</v>
          </cell>
        </row>
        <row r="36">
          <cell r="A36" t="str">
            <v>03980-006</v>
          </cell>
          <cell r="C36" t="str">
            <v>CT</v>
          </cell>
          <cell r="D36" t="str">
            <v>C S</v>
          </cell>
          <cell r="E36" t="str">
            <v>CT100x150x6x9</v>
          </cell>
          <cell r="F36">
            <v>300</v>
          </cell>
          <cell r="G36" t="str">
            <v>71200- 80</v>
          </cell>
          <cell r="H36">
            <v>1</v>
          </cell>
          <cell r="I36" t="str">
            <v>7150/5900</v>
          </cell>
        </row>
        <row r="37">
          <cell r="A37" t="str">
            <v>03980-006</v>
          </cell>
          <cell r="C37" t="str">
            <v>PLATE</v>
          </cell>
          <cell r="D37" t="str">
            <v>C S</v>
          </cell>
          <cell r="E37" t="str">
            <v>PL103x70x9t</v>
          </cell>
          <cell r="G37" t="str">
            <v>71200- 80</v>
          </cell>
          <cell r="H37">
            <v>4</v>
          </cell>
          <cell r="I37" t="str">
            <v>7150/5900</v>
          </cell>
        </row>
        <row r="38">
          <cell r="A38" t="str">
            <v>03980-006</v>
          </cell>
          <cell r="C38" t="str">
            <v>PLATE</v>
          </cell>
          <cell r="D38" t="str">
            <v>C S</v>
          </cell>
          <cell r="E38" t="str">
            <v>PL100x50x12t</v>
          </cell>
          <cell r="G38" t="str">
            <v>71200- 80</v>
          </cell>
          <cell r="H38">
            <v>2</v>
          </cell>
          <cell r="I38" t="str">
            <v>7150/5900</v>
          </cell>
        </row>
        <row r="39">
          <cell r="A39" t="str">
            <v>03980-006</v>
          </cell>
          <cell r="C39" t="str">
            <v>PLATE</v>
          </cell>
          <cell r="D39" t="str">
            <v>C S</v>
          </cell>
          <cell r="E39" t="str">
            <v>PL80x50x9t</v>
          </cell>
          <cell r="G39" t="str">
            <v>71200- 80</v>
          </cell>
          <cell r="H39">
            <v>2</v>
          </cell>
          <cell r="I39" t="str">
            <v>7150/5900</v>
          </cell>
        </row>
        <row r="41">
          <cell r="A41" t="str">
            <v>03980-007</v>
          </cell>
          <cell r="C41" t="str">
            <v>CHANNEL</v>
          </cell>
          <cell r="D41" t="str">
            <v>C S</v>
          </cell>
          <cell r="E41" t="str">
            <v>C100x50x5x7.5</v>
          </cell>
          <cell r="F41">
            <v>200</v>
          </cell>
          <cell r="G41" t="str">
            <v>71200- 80</v>
          </cell>
          <cell r="H41">
            <v>1</v>
          </cell>
        </row>
        <row r="42">
          <cell r="A42" t="str">
            <v>03980-007</v>
          </cell>
          <cell r="C42" t="str">
            <v>CT</v>
          </cell>
          <cell r="D42" t="str">
            <v>C S</v>
          </cell>
          <cell r="E42" t="str">
            <v>CT100x150x6x9</v>
          </cell>
          <cell r="F42">
            <v>300</v>
          </cell>
          <cell r="G42" t="str">
            <v>71200- 80</v>
          </cell>
          <cell r="H42">
            <v>1</v>
          </cell>
        </row>
        <row r="43">
          <cell r="A43" t="str">
            <v>03980-007</v>
          </cell>
          <cell r="C43" t="str">
            <v>PLATE</v>
          </cell>
          <cell r="D43" t="str">
            <v>C S</v>
          </cell>
          <cell r="E43" t="str">
            <v>PL103x70x9t</v>
          </cell>
          <cell r="G43" t="str">
            <v>71200- 80</v>
          </cell>
          <cell r="H43">
            <v>4</v>
          </cell>
          <cell r="I43" t="str">
            <v>7150/5900</v>
          </cell>
        </row>
        <row r="45">
          <cell r="A45" t="str">
            <v>03980-008</v>
          </cell>
          <cell r="C45" t="str">
            <v>CHANNEL</v>
          </cell>
          <cell r="D45" t="str">
            <v>C S</v>
          </cell>
          <cell r="E45" t="str">
            <v>C100x50x5x7.5</v>
          </cell>
          <cell r="F45">
            <v>300</v>
          </cell>
          <cell r="G45" t="str">
            <v>71200- 80</v>
          </cell>
          <cell r="H45">
            <v>1</v>
          </cell>
        </row>
        <row r="46">
          <cell r="A46" t="str">
            <v>03980-008</v>
          </cell>
          <cell r="C46" t="str">
            <v>CT</v>
          </cell>
          <cell r="D46" t="str">
            <v>C S</v>
          </cell>
          <cell r="E46" t="str">
            <v>CT100x150x6x9</v>
          </cell>
          <cell r="F46">
            <v>300</v>
          </cell>
          <cell r="G46" t="str">
            <v>71200- 80</v>
          </cell>
          <cell r="H46">
            <v>1</v>
          </cell>
        </row>
        <row r="47">
          <cell r="A47" t="str">
            <v>03980-008</v>
          </cell>
          <cell r="C47" t="str">
            <v>PLATE</v>
          </cell>
          <cell r="D47" t="str">
            <v>C S</v>
          </cell>
          <cell r="E47" t="str">
            <v>PL103x70x9t</v>
          </cell>
          <cell r="G47" t="str">
            <v>71200- 80</v>
          </cell>
          <cell r="H47">
            <v>4</v>
          </cell>
          <cell r="I47" t="str">
            <v>7150/5900</v>
          </cell>
        </row>
        <row r="48">
          <cell r="A48" t="str">
            <v>03980-008</v>
          </cell>
          <cell r="C48" t="str">
            <v>PLATE</v>
          </cell>
          <cell r="D48" t="str">
            <v>C S</v>
          </cell>
          <cell r="E48" t="str">
            <v>PL100x50x12t</v>
          </cell>
          <cell r="G48" t="str">
            <v>71200- 80</v>
          </cell>
          <cell r="H48">
            <v>2</v>
          </cell>
          <cell r="I48" t="str">
            <v>7150/5900</v>
          </cell>
        </row>
        <row r="49">
          <cell r="A49" t="str">
            <v>03980-008</v>
          </cell>
          <cell r="C49" t="str">
            <v>PLATE</v>
          </cell>
          <cell r="D49" t="str">
            <v>C S</v>
          </cell>
          <cell r="E49" t="str">
            <v>PL80x50x9t</v>
          </cell>
          <cell r="G49" t="str">
            <v>71200- 80</v>
          </cell>
          <cell r="H49">
            <v>2</v>
          </cell>
          <cell r="I49" t="str">
            <v>7150/5900</v>
          </cell>
        </row>
        <row r="51">
          <cell r="A51" t="str">
            <v>03980-009</v>
          </cell>
          <cell r="C51" t="str">
            <v>CT</v>
          </cell>
          <cell r="D51" t="str">
            <v>C S</v>
          </cell>
          <cell r="E51" t="str">
            <v>CT100x150x6x9</v>
          </cell>
          <cell r="F51">
            <v>300</v>
          </cell>
          <cell r="G51" t="str">
            <v>71200- 80</v>
          </cell>
          <cell r="H51">
            <v>1</v>
          </cell>
        </row>
        <row r="52">
          <cell r="A52" t="str">
            <v>03980-009</v>
          </cell>
          <cell r="C52" t="str">
            <v>PLATE</v>
          </cell>
          <cell r="D52" t="str">
            <v>C S</v>
          </cell>
          <cell r="E52" t="str">
            <v>PL103x70x9t</v>
          </cell>
          <cell r="G52" t="str">
            <v>71200- 80</v>
          </cell>
          <cell r="H52">
            <v>4</v>
          </cell>
          <cell r="I52" t="str">
            <v>7150/5900</v>
          </cell>
        </row>
        <row r="54">
          <cell r="A54" t="str">
            <v>03980-010</v>
          </cell>
          <cell r="C54" t="str">
            <v>CT</v>
          </cell>
          <cell r="D54" t="str">
            <v>C S</v>
          </cell>
          <cell r="E54" t="str">
            <v>CT100x150x6x9</v>
          </cell>
          <cell r="F54">
            <v>300</v>
          </cell>
          <cell r="G54" t="str">
            <v>71200- 80</v>
          </cell>
          <cell r="H54">
            <v>6</v>
          </cell>
        </row>
        <row r="55">
          <cell r="A55" t="str">
            <v>03980-010</v>
          </cell>
          <cell r="C55" t="str">
            <v>PLATE</v>
          </cell>
          <cell r="D55" t="str">
            <v>C S</v>
          </cell>
          <cell r="E55" t="str">
            <v>PL103x70x9t</v>
          </cell>
          <cell r="G55" t="str">
            <v>71200- 80</v>
          </cell>
          <cell r="H55">
            <v>24</v>
          </cell>
          <cell r="I55" t="str">
            <v>7150/5900</v>
          </cell>
        </row>
        <row r="57">
          <cell r="A57" t="str">
            <v>03980-011</v>
          </cell>
          <cell r="C57" t="str">
            <v>PIPE STD WT</v>
          </cell>
          <cell r="D57" t="str">
            <v>C S</v>
          </cell>
          <cell r="E57" t="str">
            <v>DN 50</v>
          </cell>
          <cell r="F57">
            <v>103</v>
          </cell>
          <cell r="G57" t="str">
            <v>71200- 80</v>
          </cell>
          <cell r="H57">
            <v>2</v>
          </cell>
        </row>
        <row r="58">
          <cell r="A58" t="str">
            <v>03980-011</v>
          </cell>
          <cell r="C58" t="str">
            <v>PLATE</v>
          </cell>
          <cell r="D58" t="str">
            <v>C S</v>
          </cell>
          <cell r="E58" t="str">
            <v>PL110x110x6t</v>
          </cell>
          <cell r="G58" t="str">
            <v>71200- 80</v>
          </cell>
          <cell r="H58">
            <v>2</v>
          </cell>
          <cell r="I58" t="str">
            <v>7150/5900</v>
          </cell>
        </row>
        <row r="60">
          <cell r="A60" t="str">
            <v>03980-012</v>
          </cell>
          <cell r="C60" t="str">
            <v>CT</v>
          </cell>
          <cell r="D60" t="str">
            <v>C S</v>
          </cell>
          <cell r="E60" t="str">
            <v>CT100x150x6x9</v>
          </cell>
          <cell r="F60">
            <v>300</v>
          </cell>
          <cell r="G60" t="str">
            <v>71200- 80</v>
          </cell>
          <cell r="H60">
            <v>2</v>
          </cell>
          <cell r="I60" t="str">
            <v>7150/5900</v>
          </cell>
        </row>
        <row r="61">
          <cell r="A61" t="str">
            <v>03980-012</v>
          </cell>
          <cell r="C61" t="str">
            <v>PLATE</v>
          </cell>
          <cell r="D61" t="str">
            <v>C S</v>
          </cell>
          <cell r="E61" t="str">
            <v>PL103x70x9t</v>
          </cell>
          <cell r="G61" t="str">
            <v>71200- 80</v>
          </cell>
          <cell r="H61">
            <v>8</v>
          </cell>
          <cell r="I61" t="str">
            <v>7150/5900</v>
          </cell>
        </row>
        <row r="62">
          <cell r="A62" t="str">
            <v>03980-012</v>
          </cell>
          <cell r="C62" t="str">
            <v>PLATE</v>
          </cell>
          <cell r="D62" t="str">
            <v>C S</v>
          </cell>
          <cell r="E62" t="str">
            <v>PL100x50x12t</v>
          </cell>
          <cell r="G62" t="str">
            <v>71200- 80</v>
          </cell>
          <cell r="H62">
            <v>4</v>
          </cell>
          <cell r="I62" t="str">
            <v>7150/5900</v>
          </cell>
        </row>
        <row r="63">
          <cell r="A63" t="str">
            <v>03980-012</v>
          </cell>
          <cell r="C63" t="str">
            <v>PLATE</v>
          </cell>
          <cell r="D63" t="str">
            <v>C S</v>
          </cell>
          <cell r="E63" t="str">
            <v>PL80x50x9t</v>
          </cell>
          <cell r="G63" t="str">
            <v>71200- 80</v>
          </cell>
          <cell r="H63">
            <v>4</v>
          </cell>
          <cell r="I63" t="str">
            <v>7150/5900</v>
          </cell>
        </row>
        <row r="65">
          <cell r="A65" t="str">
            <v>03980-013</v>
          </cell>
          <cell r="C65" t="str">
            <v>CHANNEL</v>
          </cell>
          <cell r="D65" t="str">
            <v>C S</v>
          </cell>
          <cell r="E65" t="str">
            <v>C100x50x5x7.5</v>
          </cell>
          <cell r="F65">
            <v>200</v>
          </cell>
          <cell r="G65" t="str">
            <v>71200- 80</v>
          </cell>
          <cell r="H65">
            <v>5</v>
          </cell>
        </row>
        <row r="66">
          <cell r="A66" t="str">
            <v>03980-013</v>
          </cell>
          <cell r="C66" t="str">
            <v>CT</v>
          </cell>
          <cell r="D66" t="str">
            <v>C S</v>
          </cell>
          <cell r="E66" t="str">
            <v>CT100x150x6x9</v>
          </cell>
          <cell r="F66">
            <v>300</v>
          </cell>
          <cell r="G66" t="str">
            <v>71200- 80</v>
          </cell>
          <cell r="H66">
            <v>5</v>
          </cell>
        </row>
        <row r="67">
          <cell r="A67" t="str">
            <v>03980-013</v>
          </cell>
          <cell r="C67" t="str">
            <v>PLATE</v>
          </cell>
          <cell r="D67" t="str">
            <v>C S</v>
          </cell>
          <cell r="E67" t="str">
            <v>PL103x70x9t</v>
          </cell>
          <cell r="G67" t="str">
            <v>71200- 80</v>
          </cell>
          <cell r="H67">
            <v>20</v>
          </cell>
          <cell r="I67" t="str">
            <v>7150/5900</v>
          </cell>
        </row>
        <row r="69">
          <cell r="A69" t="str">
            <v>03980-014</v>
          </cell>
          <cell r="C69" t="str">
            <v>H-BEAM</v>
          </cell>
          <cell r="D69" t="str">
            <v>C S</v>
          </cell>
          <cell r="E69" t="str">
            <v>H100x100x6x8</v>
          </cell>
          <cell r="F69">
            <v>970</v>
          </cell>
          <cell r="G69" t="str">
            <v>71200- 80</v>
          </cell>
          <cell r="H69">
            <v>2</v>
          </cell>
          <cell r="I69" t="str">
            <v>7150/5900</v>
          </cell>
        </row>
        <row r="70">
          <cell r="A70" t="str">
            <v>03980-014</v>
          </cell>
          <cell r="C70" t="str">
            <v>CT</v>
          </cell>
          <cell r="D70" t="str">
            <v>C S</v>
          </cell>
          <cell r="E70" t="str">
            <v>CT100x150x6x9</v>
          </cell>
          <cell r="F70">
            <v>300</v>
          </cell>
          <cell r="G70" t="str">
            <v>71200- 80</v>
          </cell>
          <cell r="H70">
            <v>2</v>
          </cell>
          <cell r="I70" t="str">
            <v>7150/5900</v>
          </cell>
        </row>
        <row r="71">
          <cell r="A71" t="str">
            <v>03980-014</v>
          </cell>
          <cell r="C71" t="str">
            <v>PLATE</v>
          </cell>
          <cell r="D71" t="str">
            <v>C S</v>
          </cell>
          <cell r="E71" t="str">
            <v>PL103x70x9t</v>
          </cell>
          <cell r="G71" t="str">
            <v>71200- 80</v>
          </cell>
          <cell r="H71">
            <v>8</v>
          </cell>
          <cell r="I71" t="str">
            <v>7150/5900</v>
          </cell>
        </row>
        <row r="73">
          <cell r="A73" t="str">
            <v>03980-015</v>
          </cell>
          <cell r="C73" t="str">
            <v>H-BEAM</v>
          </cell>
          <cell r="D73" t="str">
            <v>C S</v>
          </cell>
          <cell r="E73" t="str">
            <v>H100x100x6x8</v>
          </cell>
          <cell r="F73">
            <v>970</v>
          </cell>
          <cell r="G73" t="str">
            <v>71200- 80</v>
          </cell>
          <cell r="H73">
            <v>1</v>
          </cell>
          <cell r="I73" t="str">
            <v>7150/5900</v>
          </cell>
        </row>
        <row r="74">
          <cell r="A74" t="str">
            <v>03980-015</v>
          </cell>
          <cell r="C74" t="str">
            <v>CT</v>
          </cell>
          <cell r="D74" t="str">
            <v>C S</v>
          </cell>
          <cell r="E74" t="str">
            <v>CT100x150x6x9</v>
          </cell>
          <cell r="F74">
            <v>300</v>
          </cell>
          <cell r="G74" t="str">
            <v>71200- 80</v>
          </cell>
          <cell r="H74">
            <v>1</v>
          </cell>
          <cell r="I74" t="str">
            <v>7150/5900</v>
          </cell>
        </row>
        <row r="75">
          <cell r="A75" t="str">
            <v>03980-015</v>
          </cell>
          <cell r="C75" t="str">
            <v>PLATE</v>
          </cell>
          <cell r="D75" t="str">
            <v>C S</v>
          </cell>
          <cell r="E75" t="str">
            <v>PL103x70x9t</v>
          </cell>
          <cell r="G75" t="str">
            <v>71200- 80</v>
          </cell>
          <cell r="H75">
            <v>4</v>
          </cell>
          <cell r="I75" t="str">
            <v>7150/5900</v>
          </cell>
        </row>
        <row r="76">
          <cell r="A76" t="str">
            <v>03980-015</v>
          </cell>
          <cell r="C76" t="str">
            <v>PLATE</v>
          </cell>
          <cell r="D76" t="str">
            <v>C S</v>
          </cell>
          <cell r="E76" t="str">
            <v>PL100x50x12t</v>
          </cell>
          <cell r="G76" t="str">
            <v>71200- 80</v>
          </cell>
          <cell r="H76">
            <v>2</v>
          </cell>
          <cell r="I76" t="str">
            <v>7150/5900</v>
          </cell>
        </row>
        <row r="77">
          <cell r="A77" t="str">
            <v>03980-015</v>
          </cell>
          <cell r="C77" t="str">
            <v>PLATE</v>
          </cell>
          <cell r="D77" t="str">
            <v>C S</v>
          </cell>
          <cell r="E77" t="str">
            <v>PL80x50x9t</v>
          </cell>
          <cell r="G77" t="str">
            <v>71200- 80</v>
          </cell>
          <cell r="H77">
            <v>2</v>
          </cell>
          <cell r="I77" t="str">
            <v>7150/5900</v>
          </cell>
        </row>
        <row r="79">
          <cell r="A79" t="str">
            <v>03980-016</v>
          </cell>
          <cell r="C79" t="str">
            <v>CHANNEL</v>
          </cell>
          <cell r="D79" t="str">
            <v>C S</v>
          </cell>
          <cell r="E79" t="str">
            <v>C100x50x5x7.5</v>
          </cell>
          <cell r="F79">
            <v>300</v>
          </cell>
          <cell r="G79" t="str">
            <v>71200- 80</v>
          </cell>
          <cell r="H79">
            <v>1</v>
          </cell>
        </row>
        <row r="80">
          <cell r="A80" t="str">
            <v>03980-016</v>
          </cell>
          <cell r="C80" t="str">
            <v>CT</v>
          </cell>
          <cell r="D80" t="str">
            <v>C S</v>
          </cell>
          <cell r="E80" t="str">
            <v>CT100x150x6x9</v>
          </cell>
          <cell r="F80">
            <v>300</v>
          </cell>
          <cell r="G80" t="str">
            <v>71200- 80</v>
          </cell>
          <cell r="H80">
            <v>1</v>
          </cell>
        </row>
        <row r="81">
          <cell r="A81" t="str">
            <v>03980-016</v>
          </cell>
          <cell r="C81" t="str">
            <v>PLATE</v>
          </cell>
          <cell r="D81" t="str">
            <v>C S</v>
          </cell>
          <cell r="E81" t="str">
            <v>PL103x70x9t</v>
          </cell>
          <cell r="G81" t="str">
            <v>71200- 80</v>
          </cell>
          <cell r="H81">
            <v>4</v>
          </cell>
          <cell r="I81" t="str">
            <v>7150/5900</v>
          </cell>
        </row>
        <row r="82">
          <cell r="A82" t="str">
            <v>03980-016</v>
          </cell>
          <cell r="C82" t="str">
            <v>PLATE</v>
          </cell>
          <cell r="D82" t="str">
            <v>C S</v>
          </cell>
          <cell r="E82" t="str">
            <v>PL100x50x12t</v>
          </cell>
          <cell r="G82" t="str">
            <v>71200- 80</v>
          </cell>
          <cell r="H82">
            <v>2</v>
          </cell>
          <cell r="I82" t="str">
            <v>7150/5900</v>
          </cell>
        </row>
        <row r="83">
          <cell r="A83" t="str">
            <v>03980-016</v>
          </cell>
          <cell r="C83" t="str">
            <v>PLATE</v>
          </cell>
          <cell r="D83" t="str">
            <v>C S</v>
          </cell>
          <cell r="E83" t="str">
            <v>PL80x50x9t</v>
          </cell>
          <cell r="G83" t="str">
            <v>71200- 80</v>
          </cell>
          <cell r="H83">
            <v>2</v>
          </cell>
          <cell r="I83" t="str">
            <v>7150/5900</v>
          </cell>
        </row>
        <row r="85">
          <cell r="A85" t="str">
            <v>03980-017</v>
          </cell>
          <cell r="C85" t="str">
            <v>H-BEAM</v>
          </cell>
          <cell r="D85" t="str">
            <v>C S</v>
          </cell>
          <cell r="E85" t="str">
            <v>H100x100x6x8</v>
          </cell>
          <cell r="F85">
            <v>290</v>
          </cell>
          <cell r="G85" t="str">
            <v>71200- 80</v>
          </cell>
          <cell r="H85">
            <v>4</v>
          </cell>
          <cell r="I85" t="str">
            <v>7150/5900</v>
          </cell>
        </row>
        <row r="86">
          <cell r="A86" t="str">
            <v>03980-017</v>
          </cell>
          <cell r="C86" t="str">
            <v>CT</v>
          </cell>
          <cell r="D86" t="str">
            <v>C S</v>
          </cell>
          <cell r="E86" t="str">
            <v>CT100x150x6x9</v>
          </cell>
          <cell r="F86">
            <v>300</v>
          </cell>
          <cell r="G86" t="str">
            <v>71200- 80</v>
          </cell>
          <cell r="H86">
            <v>4</v>
          </cell>
          <cell r="I86" t="str">
            <v>7150/5900</v>
          </cell>
        </row>
        <row r="87">
          <cell r="A87" t="str">
            <v>03980-017</v>
          </cell>
          <cell r="C87" t="str">
            <v>PLATE</v>
          </cell>
          <cell r="D87" t="str">
            <v>C S</v>
          </cell>
          <cell r="E87" t="str">
            <v>PL103x70x9t</v>
          </cell>
          <cell r="G87" t="str">
            <v>71200- 80</v>
          </cell>
          <cell r="H87">
            <v>16</v>
          </cell>
          <cell r="I87" t="str">
            <v>7150/5900</v>
          </cell>
        </row>
        <row r="88">
          <cell r="A88" t="str">
            <v>03980-017</v>
          </cell>
          <cell r="C88" t="str">
            <v>PLATE</v>
          </cell>
          <cell r="D88" t="str">
            <v>C S</v>
          </cell>
          <cell r="E88" t="str">
            <v>PL250x250x12t</v>
          </cell>
          <cell r="G88" t="str">
            <v>71200- 80</v>
          </cell>
          <cell r="H88">
            <v>4</v>
          </cell>
          <cell r="I88" t="str">
            <v>7150/5900</v>
          </cell>
        </row>
        <row r="89">
          <cell r="A89" t="str">
            <v>03980-017</v>
          </cell>
          <cell r="C89" t="str">
            <v>ANCHOR BOLT</v>
          </cell>
          <cell r="D89" t="str">
            <v>C S</v>
          </cell>
          <cell r="E89" t="str">
            <v>M12x118L</v>
          </cell>
          <cell r="G89" t="str">
            <v>71200- 80</v>
          </cell>
          <cell r="H89">
            <v>16</v>
          </cell>
          <cell r="I89" t="str">
            <v>7150/5900</v>
          </cell>
        </row>
        <row r="91">
          <cell r="A91" t="str">
            <v>03980-018</v>
          </cell>
          <cell r="C91" t="str">
            <v>H-BEAM</v>
          </cell>
          <cell r="D91" t="str">
            <v>C S</v>
          </cell>
          <cell r="E91" t="str">
            <v>H100x100x6x8</v>
          </cell>
          <cell r="F91">
            <v>270</v>
          </cell>
          <cell r="G91" t="str">
            <v>71200- 80</v>
          </cell>
          <cell r="H91">
            <v>2</v>
          </cell>
          <cell r="I91" t="str">
            <v>7150/5900</v>
          </cell>
        </row>
        <row r="92">
          <cell r="A92" t="str">
            <v>03980-018</v>
          </cell>
          <cell r="C92" t="str">
            <v>PIPE STD WT</v>
          </cell>
          <cell r="D92" t="str">
            <v>C S</v>
          </cell>
          <cell r="E92" t="str">
            <v>DN 50</v>
          </cell>
          <cell r="F92">
            <v>103</v>
          </cell>
          <cell r="G92" t="str">
            <v>71200- 80</v>
          </cell>
          <cell r="H92">
            <v>2</v>
          </cell>
          <cell r="I92" t="str">
            <v>7150/5900</v>
          </cell>
        </row>
        <row r="93">
          <cell r="A93" t="str">
            <v>03980-018</v>
          </cell>
          <cell r="C93" t="str">
            <v>PLATE</v>
          </cell>
          <cell r="D93" t="str">
            <v>C S</v>
          </cell>
          <cell r="E93" t="str">
            <v>PL110x110x6t</v>
          </cell>
          <cell r="G93" t="str">
            <v>71200- 80</v>
          </cell>
          <cell r="H93">
            <v>2</v>
          </cell>
          <cell r="I93" t="str">
            <v>7150/5900</v>
          </cell>
        </row>
        <row r="94">
          <cell r="A94" t="str">
            <v>03980-018</v>
          </cell>
          <cell r="C94" t="str">
            <v>PLATE</v>
          </cell>
          <cell r="D94" t="str">
            <v>C S</v>
          </cell>
          <cell r="E94" t="str">
            <v>PL250x250x12t</v>
          </cell>
          <cell r="G94" t="str">
            <v>71200- 80</v>
          </cell>
          <cell r="H94">
            <v>2</v>
          </cell>
          <cell r="I94" t="str">
            <v>7150/5900</v>
          </cell>
        </row>
        <row r="95">
          <cell r="A95" t="str">
            <v>03980-018</v>
          </cell>
          <cell r="C95" t="str">
            <v>ANCHOR BOLT</v>
          </cell>
          <cell r="D95" t="str">
            <v>C S</v>
          </cell>
          <cell r="E95" t="str">
            <v>M12x118L</v>
          </cell>
          <cell r="G95" t="str">
            <v>71200- 80</v>
          </cell>
          <cell r="H95">
            <v>8</v>
          </cell>
          <cell r="I95" t="str">
            <v>7150/5900</v>
          </cell>
        </row>
        <row r="97">
          <cell r="A97" t="str">
            <v>03980-019</v>
          </cell>
          <cell r="C97" t="str">
            <v>H-BEAM</v>
          </cell>
          <cell r="D97" t="str">
            <v>C S</v>
          </cell>
          <cell r="E97" t="str">
            <v>H100x100x6x8</v>
          </cell>
          <cell r="F97">
            <v>340</v>
          </cell>
          <cell r="G97" t="str">
            <v>71200- 80</v>
          </cell>
          <cell r="H97">
            <v>2</v>
          </cell>
          <cell r="I97" t="str">
            <v>7150/5900</v>
          </cell>
        </row>
        <row r="98">
          <cell r="A98" t="str">
            <v>03980-019</v>
          </cell>
          <cell r="C98" t="str">
            <v>CT</v>
          </cell>
          <cell r="D98" t="str">
            <v>C S</v>
          </cell>
          <cell r="E98" t="str">
            <v>CT100x150x6x9</v>
          </cell>
          <cell r="F98">
            <v>300</v>
          </cell>
          <cell r="G98" t="str">
            <v>71200- 80</v>
          </cell>
          <cell r="H98">
            <v>2</v>
          </cell>
          <cell r="I98" t="str">
            <v>7150/5900</v>
          </cell>
        </row>
        <row r="99">
          <cell r="A99" t="str">
            <v>03980-019</v>
          </cell>
          <cell r="C99" t="str">
            <v>PLATE</v>
          </cell>
          <cell r="D99" t="str">
            <v>C S</v>
          </cell>
          <cell r="E99" t="str">
            <v>PL103x70x9t</v>
          </cell>
          <cell r="G99" t="str">
            <v>71200- 80</v>
          </cell>
          <cell r="H99">
            <v>8</v>
          </cell>
          <cell r="I99" t="str">
            <v>7150/5900</v>
          </cell>
        </row>
        <row r="100">
          <cell r="A100" t="str">
            <v>03980-019</v>
          </cell>
          <cell r="C100" t="str">
            <v>PLATE</v>
          </cell>
          <cell r="D100" t="str">
            <v>C S</v>
          </cell>
          <cell r="E100" t="str">
            <v>PL250x250x12t</v>
          </cell>
          <cell r="G100" t="str">
            <v>71200- 80</v>
          </cell>
          <cell r="H100">
            <v>2</v>
          </cell>
          <cell r="I100" t="str">
            <v>7150/5900</v>
          </cell>
        </row>
        <row r="101">
          <cell r="A101" t="str">
            <v>03980-019</v>
          </cell>
          <cell r="C101" t="str">
            <v>ANCHOR BOLT</v>
          </cell>
          <cell r="D101" t="str">
            <v>C S</v>
          </cell>
          <cell r="E101" t="str">
            <v>M12x118L</v>
          </cell>
          <cell r="G101" t="str">
            <v>71200- 80</v>
          </cell>
          <cell r="H101">
            <v>8</v>
          </cell>
          <cell r="I101" t="str">
            <v>7150/5900</v>
          </cell>
        </row>
        <row r="102">
          <cell r="A102" t="str">
            <v>03980-019</v>
          </cell>
          <cell r="C102" t="str">
            <v>PLATE</v>
          </cell>
          <cell r="D102" t="str">
            <v>C S</v>
          </cell>
          <cell r="E102" t="str">
            <v>PL100x50x12t</v>
          </cell>
          <cell r="G102" t="str">
            <v>71200- 80</v>
          </cell>
          <cell r="H102">
            <v>4</v>
          </cell>
          <cell r="I102" t="str">
            <v>7150/5900</v>
          </cell>
        </row>
        <row r="103">
          <cell r="A103" t="str">
            <v>03980-019</v>
          </cell>
          <cell r="C103" t="str">
            <v>PLATE</v>
          </cell>
          <cell r="D103" t="str">
            <v>C S</v>
          </cell>
          <cell r="E103" t="str">
            <v>PL80x50x9t</v>
          </cell>
          <cell r="G103" t="str">
            <v>71200- 80</v>
          </cell>
          <cell r="H103">
            <v>4</v>
          </cell>
          <cell r="I103" t="str">
            <v>7150/5900</v>
          </cell>
        </row>
        <row r="105">
          <cell r="A105" t="str">
            <v>03980-020</v>
          </cell>
          <cell r="C105" t="str">
            <v>H-BEAM</v>
          </cell>
          <cell r="D105" t="str">
            <v>C S</v>
          </cell>
          <cell r="E105" t="str">
            <v>H100x100x6x8</v>
          </cell>
          <cell r="F105">
            <v>600</v>
          </cell>
          <cell r="G105" t="str">
            <v>71200- 80</v>
          </cell>
          <cell r="H105">
            <v>1</v>
          </cell>
          <cell r="I105" t="str">
            <v>7150/5900</v>
          </cell>
        </row>
        <row r="106">
          <cell r="A106" t="str">
            <v>03980-020</v>
          </cell>
          <cell r="C106" t="str">
            <v>CT</v>
          </cell>
          <cell r="D106" t="str">
            <v>C S</v>
          </cell>
          <cell r="E106" t="str">
            <v>CT100x150x6x9</v>
          </cell>
          <cell r="F106">
            <v>300</v>
          </cell>
          <cell r="G106" t="str">
            <v>71200- 80</v>
          </cell>
          <cell r="H106">
            <v>1</v>
          </cell>
          <cell r="I106" t="str">
            <v>7150/5900</v>
          </cell>
        </row>
        <row r="107">
          <cell r="A107" t="str">
            <v>03980-020</v>
          </cell>
          <cell r="C107" t="str">
            <v>PLATE</v>
          </cell>
          <cell r="D107" t="str">
            <v>C S</v>
          </cell>
          <cell r="E107" t="str">
            <v>PL103x70x9t</v>
          </cell>
          <cell r="G107" t="str">
            <v>71200- 80</v>
          </cell>
          <cell r="H107">
            <v>4</v>
          </cell>
          <cell r="I107" t="str">
            <v>7150/5900</v>
          </cell>
        </row>
        <row r="108">
          <cell r="A108" t="str">
            <v>03980-020</v>
          </cell>
          <cell r="C108" t="str">
            <v>PLATE</v>
          </cell>
          <cell r="D108" t="str">
            <v>C S</v>
          </cell>
          <cell r="E108" t="str">
            <v>PL100x50x12t</v>
          </cell>
          <cell r="G108" t="str">
            <v>71200- 80</v>
          </cell>
          <cell r="H108">
            <v>2</v>
          </cell>
          <cell r="I108" t="str">
            <v>7150/5900</v>
          </cell>
        </row>
        <row r="109">
          <cell r="A109" t="str">
            <v>03980-020</v>
          </cell>
          <cell r="C109" t="str">
            <v>PLATE</v>
          </cell>
          <cell r="D109" t="str">
            <v>C S</v>
          </cell>
          <cell r="E109" t="str">
            <v>PL80x50x9t</v>
          </cell>
          <cell r="G109" t="str">
            <v>71200- 80</v>
          </cell>
          <cell r="H109">
            <v>2</v>
          </cell>
          <cell r="I109" t="str">
            <v>7150/5900</v>
          </cell>
        </row>
        <row r="111">
          <cell r="A111" t="str">
            <v>03980-021</v>
          </cell>
          <cell r="C111" t="str">
            <v>ANGLE</v>
          </cell>
          <cell r="D111" t="str">
            <v>C S</v>
          </cell>
          <cell r="E111" t="str">
            <v>L100x100x10</v>
          </cell>
          <cell r="F111">
            <v>270</v>
          </cell>
          <cell r="G111" t="str">
            <v>71200- 80</v>
          </cell>
          <cell r="H111">
            <v>1</v>
          </cell>
          <cell r="I111" t="str">
            <v>7150/5900</v>
          </cell>
        </row>
        <row r="112">
          <cell r="A112" t="str">
            <v>03980-021</v>
          </cell>
          <cell r="C112" t="str">
            <v>ANGLE</v>
          </cell>
          <cell r="D112" t="str">
            <v>C S</v>
          </cell>
          <cell r="E112" t="str">
            <v>L100x100x10</v>
          </cell>
          <cell r="F112">
            <v>200</v>
          </cell>
          <cell r="G112" t="str">
            <v>71200- 80</v>
          </cell>
          <cell r="H112">
            <v>1</v>
          </cell>
          <cell r="I112" t="str">
            <v>7150/5900</v>
          </cell>
        </row>
        <row r="113">
          <cell r="A113" t="str">
            <v>03980-021</v>
          </cell>
          <cell r="C113" t="str">
            <v>CT</v>
          </cell>
          <cell r="D113" t="str">
            <v>C S</v>
          </cell>
          <cell r="E113" t="str">
            <v>CT100x150x6x9</v>
          </cell>
          <cell r="F113">
            <v>300</v>
          </cell>
          <cell r="G113" t="str">
            <v>71200- 80</v>
          </cell>
          <cell r="H113">
            <v>1</v>
          </cell>
          <cell r="I113" t="str">
            <v>7150/5900</v>
          </cell>
        </row>
        <row r="114">
          <cell r="A114" t="str">
            <v>03980-021</v>
          </cell>
          <cell r="C114" t="str">
            <v>PLATE</v>
          </cell>
          <cell r="D114" t="str">
            <v>C S</v>
          </cell>
          <cell r="E114" t="str">
            <v>PL103x70x9t</v>
          </cell>
          <cell r="G114" t="str">
            <v>71200- 80</v>
          </cell>
          <cell r="H114">
            <v>4</v>
          </cell>
          <cell r="I114" t="str">
            <v>7150/5900</v>
          </cell>
        </row>
        <row r="115">
          <cell r="A115" t="str">
            <v>03980-021</v>
          </cell>
          <cell r="C115" t="str">
            <v>PLATE</v>
          </cell>
          <cell r="D115" t="str">
            <v>C S</v>
          </cell>
          <cell r="E115" t="str">
            <v>PL250x250x12t</v>
          </cell>
          <cell r="G115" t="str">
            <v>71200- 80</v>
          </cell>
          <cell r="H115">
            <v>1</v>
          </cell>
          <cell r="I115" t="str">
            <v>7150/5900</v>
          </cell>
        </row>
        <row r="116">
          <cell r="A116" t="str">
            <v>03980-021</v>
          </cell>
          <cell r="C116" t="str">
            <v>ANCHOR BOLT</v>
          </cell>
          <cell r="D116" t="str">
            <v>C S</v>
          </cell>
          <cell r="E116" t="str">
            <v>M12x118L</v>
          </cell>
          <cell r="G116" t="str">
            <v>71200- 80</v>
          </cell>
          <cell r="H116">
            <v>4</v>
          </cell>
          <cell r="I116" t="str">
            <v>7150/5900</v>
          </cell>
        </row>
        <row r="118">
          <cell r="A118" t="str">
            <v>03980-022</v>
          </cell>
          <cell r="C118" t="str">
            <v>CT</v>
          </cell>
          <cell r="D118" t="str">
            <v>C S</v>
          </cell>
          <cell r="E118" t="str">
            <v>CT100x150x6x9</v>
          </cell>
          <cell r="F118">
            <v>300</v>
          </cell>
          <cell r="G118" t="str">
            <v>71200- 80</v>
          </cell>
          <cell r="H118">
            <v>1</v>
          </cell>
          <cell r="I118" t="str">
            <v>7150/5900</v>
          </cell>
        </row>
        <row r="119">
          <cell r="A119" t="str">
            <v>03980-022</v>
          </cell>
          <cell r="C119" t="str">
            <v>PLATE</v>
          </cell>
          <cell r="D119" t="str">
            <v>C S</v>
          </cell>
          <cell r="E119" t="str">
            <v>PL103x70x9t</v>
          </cell>
          <cell r="G119" t="str">
            <v>71200- 80</v>
          </cell>
          <cell r="H119">
            <v>4</v>
          </cell>
          <cell r="I119" t="str">
            <v>7150/5900</v>
          </cell>
        </row>
        <row r="120">
          <cell r="A120" t="str">
            <v>03980-022</v>
          </cell>
          <cell r="C120" t="str">
            <v>PLATE</v>
          </cell>
          <cell r="D120" t="str">
            <v>C S</v>
          </cell>
          <cell r="E120" t="str">
            <v>PL100x50x12t</v>
          </cell>
          <cell r="G120" t="str">
            <v>71200- 80</v>
          </cell>
          <cell r="H120">
            <v>2</v>
          </cell>
          <cell r="I120" t="str">
            <v>7150/5900</v>
          </cell>
        </row>
        <row r="121">
          <cell r="A121" t="str">
            <v>03980-022</v>
          </cell>
          <cell r="C121" t="str">
            <v>PLATE</v>
          </cell>
          <cell r="D121" t="str">
            <v>C S</v>
          </cell>
          <cell r="E121" t="str">
            <v>PL80x50x9t</v>
          </cell>
          <cell r="G121" t="str">
            <v>71200- 80</v>
          </cell>
          <cell r="H121">
            <v>2</v>
          </cell>
          <cell r="I121" t="str">
            <v>7150/5900</v>
          </cell>
        </row>
        <row r="123">
          <cell r="A123" t="str">
            <v>03980-023</v>
          </cell>
          <cell r="C123" t="str">
            <v>CT</v>
          </cell>
          <cell r="D123" t="str">
            <v>C S</v>
          </cell>
          <cell r="E123" t="str">
            <v>CT100x150x6x9</v>
          </cell>
          <cell r="F123">
            <v>300</v>
          </cell>
          <cell r="G123" t="str">
            <v>71200- 80</v>
          </cell>
          <cell r="H123">
            <v>1</v>
          </cell>
          <cell r="I123" t="str">
            <v>7150/5900</v>
          </cell>
        </row>
        <row r="124">
          <cell r="A124" t="str">
            <v>03980-023</v>
          </cell>
          <cell r="C124" t="str">
            <v>PLATE</v>
          </cell>
          <cell r="D124" t="str">
            <v>C S</v>
          </cell>
          <cell r="E124" t="str">
            <v>PL103x70x9t</v>
          </cell>
          <cell r="G124" t="str">
            <v>71200- 80</v>
          </cell>
          <cell r="H124">
            <v>4</v>
          </cell>
          <cell r="I124" t="str">
            <v>7150/5900</v>
          </cell>
        </row>
        <row r="126">
          <cell r="A126" t="str">
            <v>03980-024</v>
          </cell>
          <cell r="C126" t="str">
            <v>H-BEAM</v>
          </cell>
          <cell r="D126" t="str">
            <v>C S</v>
          </cell>
          <cell r="E126" t="str">
            <v>H100x100x6x8</v>
          </cell>
          <cell r="F126">
            <v>1385</v>
          </cell>
          <cell r="G126" t="str">
            <v>16200-150</v>
          </cell>
          <cell r="H126">
            <v>1</v>
          </cell>
          <cell r="I126" t="str">
            <v>7150/5900</v>
          </cell>
        </row>
        <row r="127">
          <cell r="A127" t="str">
            <v>03980-024</v>
          </cell>
          <cell r="C127" t="str">
            <v>CLIP ANGLE</v>
          </cell>
          <cell r="D127" t="str">
            <v>C S</v>
          </cell>
          <cell r="E127" t="str">
            <v>L75x75x9</v>
          </cell>
          <cell r="F127">
            <v>50</v>
          </cell>
          <cell r="G127" t="str">
            <v>16200-150</v>
          </cell>
          <cell r="H127">
            <v>2</v>
          </cell>
          <cell r="I127" t="str">
            <v>7150/5900</v>
          </cell>
        </row>
        <row r="128">
          <cell r="A128" t="str">
            <v>03980-024</v>
          </cell>
          <cell r="C128" t="str">
            <v>U-BOLT</v>
          </cell>
          <cell r="D128" t="str">
            <v>C S</v>
          </cell>
          <cell r="E128" t="str">
            <v>DN150</v>
          </cell>
          <cell r="G128" t="str">
            <v>16200-150</v>
          </cell>
          <cell r="H128">
            <v>1</v>
          </cell>
          <cell r="I128" t="str">
            <v>7150/5900</v>
          </cell>
        </row>
        <row r="129">
          <cell r="A129" t="str">
            <v>03980-024</v>
          </cell>
          <cell r="C129" t="str">
            <v>U-BOLT</v>
          </cell>
          <cell r="D129" t="str">
            <v>C S</v>
          </cell>
          <cell r="E129" t="str">
            <v>DN 80</v>
          </cell>
          <cell r="G129" t="str">
            <v>16200- 80</v>
          </cell>
          <cell r="H129">
            <v>1</v>
          </cell>
          <cell r="I129" t="str">
            <v>7150/5900</v>
          </cell>
        </row>
        <row r="131">
          <cell r="A131" t="str">
            <v>03980-025</v>
          </cell>
          <cell r="C131" t="str">
            <v>H-BEAM</v>
          </cell>
          <cell r="D131" t="str">
            <v>C S</v>
          </cell>
          <cell r="E131" t="str">
            <v>H100x100x6x8</v>
          </cell>
          <cell r="F131">
            <v>1385</v>
          </cell>
          <cell r="G131" t="str">
            <v>16320-100</v>
          </cell>
          <cell r="H131">
            <v>1</v>
          </cell>
          <cell r="I131" t="str">
            <v>7150/5900</v>
          </cell>
        </row>
        <row r="132">
          <cell r="A132" t="str">
            <v>03980-025</v>
          </cell>
          <cell r="C132" t="str">
            <v>CLIP ANGLE</v>
          </cell>
          <cell r="D132" t="str">
            <v>C S</v>
          </cell>
          <cell r="E132" t="str">
            <v>L75x75x9</v>
          </cell>
          <cell r="F132">
            <v>50</v>
          </cell>
          <cell r="G132" t="str">
            <v>16320-100</v>
          </cell>
          <cell r="H132">
            <v>2</v>
          </cell>
          <cell r="I132" t="str">
            <v>7150/5900</v>
          </cell>
        </row>
        <row r="134">
          <cell r="A134" t="str">
            <v>03980-026</v>
          </cell>
          <cell r="C134" t="str">
            <v>H-BEAM</v>
          </cell>
          <cell r="D134" t="str">
            <v>C S</v>
          </cell>
          <cell r="E134" t="str">
            <v>H100x100x6x8</v>
          </cell>
          <cell r="F134">
            <v>1385</v>
          </cell>
          <cell r="G134" t="str">
            <v>16200-100</v>
          </cell>
          <cell r="H134">
            <v>1</v>
          </cell>
          <cell r="I134" t="str">
            <v>7150/5900</v>
          </cell>
        </row>
        <row r="135">
          <cell r="A135" t="str">
            <v>03980-026</v>
          </cell>
          <cell r="C135" t="str">
            <v>CLIP ANGLE</v>
          </cell>
          <cell r="D135" t="str">
            <v>C S</v>
          </cell>
          <cell r="E135" t="str">
            <v>L75x75x9</v>
          </cell>
          <cell r="F135">
            <v>50</v>
          </cell>
          <cell r="G135" t="str">
            <v>16200-100</v>
          </cell>
          <cell r="H135">
            <v>2</v>
          </cell>
          <cell r="I135" t="str">
            <v>7150/5900</v>
          </cell>
        </row>
        <row r="136">
          <cell r="A136" t="str">
            <v>03980-026</v>
          </cell>
          <cell r="C136" t="str">
            <v>U-BOLT</v>
          </cell>
          <cell r="D136" t="str">
            <v>C S</v>
          </cell>
          <cell r="E136" t="str">
            <v>DN100</v>
          </cell>
          <cell r="G136" t="str">
            <v>16200-100</v>
          </cell>
          <cell r="H136">
            <v>1</v>
          </cell>
          <cell r="I136" t="str">
            <v>7150/5900</v>
          </cell>
        </row>
        <row r="137">
          <cell r="A137" t="str">
            <v>03980-026</v>
          </cell>
          <cell r="C137" t="str">
            <v>U-BOLT</v>
          </cell>
          <cell r="D137" t="str">
            <v>C S</v>
          </cell>
          <cell r="E137" t="str">
            <v>DN100</v>
          </cell>
          <cell r="G137" t="str">
            <v>16320-100</v>
          </cell>
          <cell r="H137">
            <v>1</v>
          </cell>
          <cell r="I137" t="str">
            <v>7150/5900</v>
          </cell>
        </row>
        <row r="139">
          <cell r="A139" t="str">
            <v>03980-027</v>
          </cell>
          <cell r="C139" t="str">
            <v>H-BEAM</v>
          </cell>
          <cell r="D139" t="str">
            <v>C S</v>
          </cell>
          <cell r="E139" t="str">
            <v>H100x100x6x8</v>
          </cell>
          <cell r="F139">
            <v>1385</v>
          </cell>
          <cell r="G139" t="str">
            <v>16100-100</v>
          </cell>
          <cell r="H139">
            <v>1</v>
          </cell>
          <cell r="I139" t="str">
            <v>7150/5900</v>
          </cell>
        </row>
        <row r="140">
          <cell r="A140" t="str">
            <v>03980-027</v>
          </cell>
          <cell r="C140" t="str">
            <v>CLIP ANGLE</v>
          </cell>
          <cell r="D140" t="str">
            <v>C S</v>
          </cell>
          <cell r="E140" t="str">
            <v>L75x75x9</v>
          </cell>
          <cell r="F140">
            <v>50</v>
          </cell>
          <cell r="G140" t="str">
            <v>16100-100</v>
          </cell>
          <cell r="H140">
            <v>2</v>
          </cell>
          <cell r="I140" t="str">
            <v>7150/5900</v>
          </cell>
        </row>
        <row r="142">
          <cell r="A142" t="str">
            <v>03980-028</v>
          </cell>
          <cell r="C142" t="str">
            <v>H-BEAM</v>
          </cell>
          <cell r="D142" t="str">
            <v>C S</v>
          </cell>
          <cell r="E142" t="str">
            <v>H100x100x6x8</v>
          </cell>
          <cell r="F142">
            <v>1385</v>
          </cell>
          <cell r="G142" t="str">
            <v>16100-150</v>
          </cell>
          <cell r="H142">
            <v>1</v>
          </cell>
          <cell r="I142" t="str">
            <v>7150/5900</v>
          </cell>
        </row>
        <row r="143">
          <cell r="A143" t="str">
            <v>03980-028</v>
          </cell>
          <cell r="C143" t="str">
            <v>CLIP ANGLE</v>
          </cell>
          <cell r="D143" t="str">
            <v>C S</v>
          </cell>
          <cell r="E143" t="str">
            <v>L75x75x9</v>
          </cell>
          <cell r="F143">
            <v>50</v>
          </cell>
          <cell r="G143" t="str">
            <v>16100-150</v>
          </cell>
          <cell r="H143">
            <v>2</v>
          </cell>
          <cell r="I143" t="str">
            <v>7150/5900</v>
          </cell>
        </row>
        <row r="144">
          <cell r="A144" t="str">
            <v>03980-028</v>
          </cell>
          <cell r="C144" t="str">
            <v>U-BOLT</v>
          </cell>
          <cell r="D144" t="str">
            <v>C S</v>
          </cell>
          <cell r="E144" t="str">
            <v>DN150</v>
          </cell>
          <cell r="G144" t="str">
            <v>16100-150</v>
          </cell>
          <cell r="H144">
            <v>1</v>
          </cell>
          <cell r="I144" t="str">
            <v>7150/5900</v>
          </cell>
        </row>
        <row r="145">
          <cell r="A145" t="str">
            <v>03980-028</v>
          </cell>
          <cell r="C145" t="str">
            <v>U-BOLT</v>
          </cell>
          <cell r="D145" t="str">
            <v>C S</v>
          </cell>
          <cell r="E145" t="str">
            <v>DN100</v>
          </cell>
          <cell r="G145" t="str">
            <v>16200-100</v>
          </cell>
          <cell r="H145">
            <v>1</v>
          </cell>
          <cell r="I145" t="str">
            <v>7150/5900</v>
          </cell>
        </row>
        <row r="146">
          <cell r="A146" t="str">
            <v>03980-028</v>
          </cell>
          <cell r="C146" t="str">
            <v>U-BOLT</v>
          </cell>
          <cell r="D146" t="str">
            <v>C S</v>
          </cell>
          <cell r="E146" t="str">
            <v>DN100</v>
          </cell>
          <cell r="G146" t="str">
            <v>16100-100</v>
          </cell>
          <cell r="H146">
            <v>1</v>
          </cell>
          <cell r="I146" t="str">
            <v>7150/5900</v>
          </cell>
        </row>
        <row r="148">
          <cell r="A148" t="str">
            <v>03980-029</v>
          </cell>
          <cell r="C148" t="str">
            <v>H-BEAM</v>
          </cell>
          <cell r="D148" t="str">
            <v>C S</v>
          </cell>
          <cell r="E148" t="str">
            <v>H100x100x6x8</v>
          </cell>
          <cell r="F148">
            <v>1780</v>
          </cell>
          <cell r="G148" t="str">
            <v>16100-150</v>
          </cell>
          <cell r="H148">
            <v>1</v>
          </cell>
          <cell r="I148" t="str">
            <v>7150/5900</v>
          </cell>
        </row>
        <row r="149">
          <cell r="A149" t="str">
            <v>03980-029</v>
          </cell>
          <cell r="C149" t="str">
            <v>CLIP ANGLE</v>
          </cell>
          <cell r="D149" t="str">
            <v>C S</v>
          </cell>
          <cell r="E149" t="str">
            <v>L75x75x9</v>
          </cell>
          <cell r="F149">
            <v>50</v>
          </cell>
          <cell r="G149" t="str">
            <v>16100-150</v>
          </cell>
          <cell r="H149">
            <v>2</v>
          </cell>
          <cell r="I149" t="str">
            <v>7150/5900</v>
          </cell>
        </row>
        <row r="151">
          <cell r="A151" t="str">
            <v>03980-030</v>
          </cell>
          <cell r="C151" t="str">
            <v>H-BEAM</v>
          </cell>
          <cell r="D151" t="str">
            <v>C S</v>
          </cell>
          <cell r="E151" t="str">
            <v>H100x100x6x8</v>
          </cell>
          <cell r="F151">
            <v>1385</v>
          </cell>
          <cell r="G151" t="str">
            <v>16200-100</v>
          </cell>
          <cell r="H151">
            <v>1</v>
          </cell>
          <cell r="I151" t="str">
            <v>7150/5900</v>
          </cell>
        </row>
        <row r="152">
          <cell r="A152" t="str">
            <v>03980-030</v>
          </cell>
          <cell r="C152" t="str">
            <v>CLIP ANGLE</v>
          </cell>
          <cell r="D152" t="str">
            <v>C S</v>
          </cell>
          <cell r="E152" t="str">
            <v>L75x75x9</v>
          </cell>
          <cell r="F152">
            <v>50</v>
          </cell>
          <cell r="G152" t="str">
            <v>16200-100</v>
          </cell>
          <cell r="H152">
            <v>2</v>
          </cell>
          <cell r="I152" t="str">
            <v>7150/5900</v>
          </cell>
        </row>
        <row r="154">
          <cell r="A154" t="str">
            <v>03980-031</v>
          </cell>
          <cell r="C154" t="str">
            <v>H-BEAM</v>
          </cell>
          <cell r="D154" t="str">
            <v>C S</v>
          </cell>
          <cell r="E154" t="str">
            <v>H100x100x6x8</v>
          </cell>
          <cell r="F154">
            <v>700</v>
          </cell>
          <cell r="G154" t="str">
            <v>16200-100</v>
          </cell>
          <cell r="H154">
            <v>1</v>
          </cell>
          <cell r="I154" t="str">
            <v>7150/5900</v>
          </cell>
        </row>
        <row r="156">
          <cell r="A156" t="str">
            <v>03980-032</v>
          </cell>
          <cell r="C156" t="str">
            <v>U-BOLT</v>
          </cell>
          <cell r="D156" t="str">
            <v>C S</v>
          </cell>
          <cell r="E156" t="str">
            <v>DN100</v>
          </cell>
          <cell r="G156" t="str">
            <v>16320-100</v>
          </cell>
          <cell r="H156">
            <v>1</v>
          </cell>
          <cell r="I156" t="str">
            <v>7150/5900</v>
          </cell>
        </row>
        <row r="157">
          <cell r="A157" t="str">
            <v>03980-032</v>
          </cell>
          <cell r="C157" t="str">
            <v>ANGLE</v>
          </cell>
          <cell r="D157" t="str">
            <v>C S</v>
          </cell>
          <cell r="E157" t="str">
            <v>L75x75x9</v>
          </cell>
          <cell r="F157">
            <v>527</v>
          </cell>
          <cell r="G157" t="str">
            <v>16320-100</v>
          </cell>
          <cell r="H157">
            <v>1</v>
          </cell>
          <cell r="I157" t="str">
            <v>7150/5900</v>
          </cell>
        </row>
        <row r="158">
          <cell r="A158" t="str">
            <v>03980-032</v>
          </cell>
          <cell r="C158" t="str">
            <v>PLATE</v>
          </cell>
          <cell r="D158" t="str">
            <v>C S</v>
          </cell>
          <cell r="E158" t="str">
            <v>PL200x200x12t</v>
          </cell>
          <cell r="G158" t="str">
            <v>16320-100</v>
          </cell>
          <cell r="H158">
            <v>1</v>
          </cell>
          <cell r="I158" t="str">
            <v>7150/5900</v>
          </cell>
        </row>
        <row r="159">
          <cell r="A159" t="str">
            <v>03980-032</v>
          </cell>
          <cell r="C159" t="str">
            <v>ANCHOR BOLT</v>
          </cell>
          <cell r="D159" t="str">
            <v>C S</v>
          </cell>
          <cell r="E159" t="str">
            <v>M12x155L</v>
          </cell>
          <cell r="G159" t="str">
            <v>16320-100</v>
          </cell>
          <cell r="H159">
            <v>4</v>
          </cell>
          <cell r="I159" t="str">
            <v>7150/5900</v>
          </cell>
        </row>
        <row r="161">
          <cell r="A161" t="str">
            <v>03980-033</v>
          </cell>
          <cell r="C161" t="str">
            <v>CHANNEL</v>
          </cell>
          <cell r="D161" t="str">
            <v>C S</v>
          </cell>
          <cell r="E161" t="str">
            <v>C100x50x5x7.5</v>
          </cell>
          <cell r="F161">
            <v>500</v>
          </cell>
          <cell r="G161" t="str">
            <v>16200- 80</v>
          </cell>
          <cell r="H161">
            <v>1</v>
          </cell>
        </row>
        <row r="162">
          <cell r="A162" t="str">
            <v>03980-033</v>
          </cell>
          <cell r="C162" t="str">
            <v>3-BOLT PIPE CLAMP</v>
          </cell>
          <cell r="D162" t="str">
            <v>C S</v>
          </cell>
          <cell r="E162" t="str">
            <v>DN 80</v>
          </cell>
          <cell r="G162" t="str">
            <v>16200- 80</v>
          </cell>
          <cell r="H162">
            <v>1</v>
          </cell>
          <cell r="I162" t="str">
            <v>7150/5900</v>
          </cell>
        </row>
        <row r="163">
          <cell r="A163" t="str">
            <v>03980-033</v>
          </cell>
          <cell r="C163" t="str">
            <v>WEL'D BEAM ATTACH.</v>
          </cell>
          <cell r="D163" t="str">
            <v>C S</v>
          </cell>
          <cell r="E163" t="str">
            <v>M12</v>
          </cell>
          <cell r="G163" t="str">
            <v>16200- 80</v>
          </cell>
          <cell r="H163">
            <v>1</v>
          </cell>
          <cell r="I163" t="str">
            <v>7150/5900</v>
          </cell>
        </row>
        <row r="164">
          <cell r="A164" t="str">
            <v>03980-033</v>
          </cell>
          <cell r="C164" t="str">
            <v>EYE NUT</v>
          </cell>
          <cell r="D164" t="str">
            <v>C S</v>
          </cell>
          <cell r="E164" t="str">
            <v>M12</v>
          </cell>
          <cell r="G164" t="str">
            <v>16200- 80</v>
          </cell>
          <cell r="H164">
            <v>2</v>
          </cell>
          <cell r="I164" t="str">
            <v>7150/5900</v>
          </cell>
        </row>
        <row r="165">
          <cell r="A165" t="str">
            <v>03980-033</v>
          </cell>
          <cell r="C165" t="str">
            <v>THR'D ROD</v>
          </cell>
          <cell r="D165" t="str">
            <v>C S</v>
          </cell>
          <cell r="E165" t="str">
            <v>M12</v>
          </cell>
          <cell r="F165">
            <v>360</v>
          </cell>
          <cell r="G165" t="str">
            <v>16200- 80</v>
          </cell>
          <cell r="H165">
            <v>1</v>
          </cell>
          <cell r="I165" t="str">
            <v>7150/5900</v>
          </cell>
        </row>
        <row r="166">
          <cell r="A166" t="str">
            <v>03980-033</v>
          </cell>
          <cell r="C166" t="str">
            <v>PLATE</v>
          </cell>
          <cell r="D166" t="str">
            <v>C S</v>
          </cell>
          <cell r="E166" t="str">
            <v>PL200x200x12t</v>
          </cell>
          <cell r="G166" t="str">
            <v>16200- 80</v>
          </cell>
          <cell r="H166">
            <v>1</v>
          </cell>
          <cell r="I166" t="str">
            <v>7150/5900</v>
          </cell>
        </row>
        <row r="167">
          <cell r="A167" t="str">
            <v>03980-033</v>
          </cell>
          <cell r="C167" t="str">
            <v>ANCHOR BOLT</v>
          </cell>
          <cell r="D167" t="str">
            <v>C S</v>
          </cell>
          <cell r="E167" t="str">
            <v>M12x155L</v>
          </cell>
          <cell r="G167" t="str">
            <v>16200- 80</v>
          </cell>
          <cell r="H167">
            <v>4</v>
          </cell>
          <cell r="I167" t="str">
            <v>7150/5900</v>
          </cell>
        </row>
        <row r="169">
          <cell r="A169" t="str">
            <v>03980-034</v>
          </cell>
          <cell r="C169" t="str">
            <v>U-BOLT</v>
          </cell>
          <cell r="D169" t="str">
            <v>C S</v>
          </cell>
          <cell r="E169" t="str">
            <v>DN100</v>
          </cell>
          <cell r="G169" t="str">
            <v>16320-100</v>
          </cell>
          <cell r="H169">
            <v>1</v>
          </cell>
          <cell r="I169" t="str">
            <v>7150/5900</v>
          </cell>
        </row>
        <row r="170">
          <cell r="A170" t="str">
            <v>03980-034</v>
          </cell>
          <cell r="C170" t="str">
            <v>ANGLE</v>
          </cell>
          <cell r="D170" t="str">
            <v>C S</v>
          </cell>
          <cell r="E170" t="str">
            <v>L75x75x9</v>
          </cell>
          <cell r="F170">
            <v>514</v>
          </cell>
          <cell r="G170" t="str">
            <v>16320-100</v>
          </cell>
          <cell r="H170">
            <v>1</v>
          </cell>
          <cell r="I170" t="str">
            <v>7150/5900</v>
          </cell>
        </row>
        <row r="171">
          <cell r="A171" t="str">
            <v>03980-034</v>
          </cell>
          <cell r="C171" t="str">
            <v>PLATE</v>
          </cell>
          <cell r="D171" t="str">
            <v>C S</v>
          </cell>
          <cell r="E171" t="str">
            <v>PL200x200x12t</v>
          </cell>
          <cell r="G171" t="str">
            <v>16320-100</v>
          </cell>
          <cell r="H171">
            <v>1</v>
          </cell>
          <cell r="I171" t="str">
            <v>7150/5900</v>
          </cell>
        </row>
        <row r="172">
          <cell r="A172" t="str">
            <v>03980-034</v>
          </cell>
          <cell r="C172" t="str">
            <v>ANCHOR BOLT</v>
          </cell>
          <cell r="D172" t="str">
            <v>C S</v>
          </cell>
          <cell r="E172" t="str">
            <v>M12x155L</v>
          </cell>
          <cell r="G172" t="str">
            <v>16320-100</v>
          </cell>
          <cell r="H172">
            <v>4</v>
          </cell>
          <cell r="I172" t="str">
            <v>7150/5900</v>
          </cell>
        </row>
        <row r="174">
          <cell r="A174" t="str">
            <v>03980-035</v>
          </cell>
          <cell r="C174" t="str">
            <v>H-BEAM</v>
          </cell>
          <cell r="D174" t="str">
            <v>C S</v>
          </cell>
          <cell r="E174" t="str">
            <v>H100x100x6x8</v>
          </cell>
          <cell r="F174">
            <v>462</v>
          </cell>
          <cell r="G174" t="str">
            <v>16100-150</v>
          </cell>
          <cell r="H174">
            <v>1</v>
          </cell>
          <cell r="I174" t="str">
            <v>7150/5900</v>
          </cell>
        </row>
        <row r="175">
          <cell r="A175" t="str">
            <v>03980-035</v>
          </cell>
          <cell r="C175" t="str">
            <v>ANGLE</v>
          </cell>
          <cell r="D175" t="str">
            <v>C S</v>
          </cell>
          <cell r="E175" t="str">
            <v>L75x75x9</v>
          </cell>
          <cell r="F175">
            <v>330</v>
          </cell>
          <cell r="G175" t="str">
            <v>16100-150</v>
          </cell>
          <cell r="H175">
            <v>1</v>
          </cell>
          <cell r="I175" t="str">
            <v>7150/5900</v>
          </cell>
        </row>
        <row r="176">
          <cell r="A176" t="str">
            <v>03980-035</v>
          </cell>
          <cell r="C176" t="str">
            <v>PLATE</v>
          </cell>
          <cell r="D176" t="str">
            <v>C S</v>
          </cell>
          <cell r="E176" t="str">
            <v>PL200x200x12t</v>
          </cell>
          <cell r="G176" t="str">
            <v>16100-150</v>
          </cell>
          <cell r="H176">
            <v>1</v>
          </cell>
          <cell r="I176" t="str">
            <v>7150/5900</v>
          </cell>
        </row>
        <row r="177">
          <cell r="A177" t="str">
            <v>03980-035</v>
          </cell>
          <cell r="C177" t="str">
            <v>ANCHOR BOLT</v>
          </cell>
          <cell r="D177" t="str">
            <v>C S</v>
          </cell>
          <cell r="E177" t="str">
            <v>M16x177L</v>
          </cell>
          <cell r="G177" t="str">
            <v>16100-150</v>
          </cell>
          <cell r="H177">
            <v>4</v>
          </cell>
          <cell r="I177" t="str">
            <v>7150/5900</v>
          </cell>
        </row>
        <row r="178">
          <cell r="A178" t="str">
            <v>03980-035</v>
          </cell>
          <cell r="C178" t="str">
            <v>U-BOLT</v>
          </cell>
          <cell r="D178" t="str">
            <v>C S</v>
          </cell>
          <cell r="E178" t="str">
            <v>DN150</v>
          </cell>
          <cell r="G178" t="str">
            <v>16100-150</v>
          </cell>
          <cell r="H178">
            <v>1</v>
          </cell>
          <cell r="I178" t="str">
            <v>7150/5900</v>
          </cell>
        </row>
        <row r="180">
          <cell r="A180" t="str">
            <v>03980-036</v>
          </cell>
          <cell r="C180" t="str">
            <v>CHANNEL</v>
          </cell>
          <cell r="D180" t="str">
            <v>C S</v>
          </cell>
          <cell r="E180" t="str">
            <v>C100x50x5x7.5</v>
          </cell>
          <cell r="F180">
            <v>450</v>
          </cell>
          <cell r="G180" t="str">
            <v>16320- 80</v>
          </cell>
          <cell r="H180">
            <v>1</v>
          </cell>
        </row>
        <row r="181">
          <cell r="A181" t="str">
            <v>03980-036</v>
          </cell>
          <cell r="C181" t="str">
            <v>3-BOLT PIPE CLAMP</v>
          </cell>
          <cell r="D181" t="str">
            <v>C S</v>
          </cell>
          <cell r="E181" t="str">
            <v>DN 80</v>
          </cell>
          <cell r="G181" t="str">
            <v>16320- 80</v>
          </cell>
          <cell r="H181">
            <v>1</v>
          </cell>
          <cell r="I181" t="str">
            <v>7150/5900</v>
          </cell>
        </row>
        <row r="182">
          <cell r="A182" t="str">
            <v>03980-036</v>
          </cell>
          <cell r="C182" t="str">
            <v>WEL'D BEAM ATTACH.</v>
          </cell>
          <cell r="D182" t="str">
            <v>C S</v>
          </cell>
          <cell r="E182" t="str">
            <v>M12</v>
          </cell>
          <cell r="G182" t="str">
            <v>16320- 80</v>
          </cell>
          <cell r="H182">
            <v>1</v>
          </cell>
          <cell r="I182" t="str">
            <v>7150/5900</v>
          </cell>
        </row>
        <row r="183">
          <cell r="A183" t="str">
            <v>03980-036</v>
          </cell>
          <cell r="C183" t="str">
            <v>EYE NUT</v>
          </cell>
          <cell r="D183" t="str">
            <v>C S</v>
          </cell>
          <cell r="E183" t="str">
            <v>M12</v>
          </cell>
          <cell r="G183" t="str">
            <v>16320- 80</v>
          </cell>
          <cell r="H183">
            <v>2</v>
          </cell>
          <cell r="I183" t="str">
            <v>7150/5900</v>
          </cell>
        </row>
        <row r="184">
          <cell r="A184" t="str">
            <v>03980-036</v>
          </cell>
          <cell r="C184" t="str">
            <v>THR'D ROD</v>
          </cell>
          <cell r="D184" t="str">
            <v>C S</v>
          </cell>
          <cell r="E184" t="str">
            <v>M12</v>
          </cell>
          <cell r="F184">
            <v>1161</v>
          </cell>
          <cell r="G184" t="str">
            <v>16320- 80</v>
          </cell>
          <cell r="H184">
            <v>1</v>
          </cell>
          <cell r="I184" t="str">
            <v>7150/5900</v>
          </cell>
        </row>
        <row r="186">
          <cell r="A186" t="str">
            <v>03980-037</v>
          </cell>
          <cell r="C186" t="str">
            <v>H-BEAM</v>
          </cell>
          <cell r="D186" t="str">
            <v>C S</v>
          </cell>
          <cell r="E186" t="str">
            <v>H100x100x6x8</v>
          </cell>
          <cell r="F186">
            <v>284</v>
          </cell>
          <cell r="G186" t="str">
            <v>16320- 80</v>
          </cell>
          <cell r="H186">
            <v>1</v>
          </cell>
          <cell r="I186" t="str">
            <v>7150/5900</v>
          </cell>
        </row>
        <row r="187">
          <cell r="A187" t="str">
            <v>03980-037</v>
          </cell>
          <cell r="C187" t="str">
            <v>ANGLE</v>
          </cell>
          <cell r="D187" t="str">
            <v>C S</v>
          </cell>
          <cell r="E187" t="str">
            <v>L75x75x9</v>
          </cell>
          <cell r="F187">
            <v>225</v>
          </cell>
          <cell r="G187" t="str">
            <v>16320- 80</v>
          </cell>
          <cell r="H187">
            <v>1</v>
          </cell>
          <cell r="I187" t="str">
            <v>7150/5900</v>
          </cell>
        </row>
        <row r="188">
          <cell r="A188" t="str">
            <v>03980-037</v>
          </cell>
          <cell r="C188" t="str">
            <v>U-BOLT</v>
          </cell>
          <cell r="D188" t="str">
            <v>C S</v>
          </cell>
          <cell r="E188" t="str">
            <v>DN 80</v>
          </cell>
          <cell r="G188" t="str">
            <v>16320- 80</v>
          </cell>
          <cell r="H188">
            <v>1</v>
          </cell>
          <cell r="I188" t="str">
            <v>7150/5900</v>
          </cell>
        </row>
        <row r="189">
          <cell r="A189" t="str">
            <v>03980-037</v>
          </cell>
          <cell r="C189" t="str">
            <v>PLATE</v>
          </cell>
          <cell r="D189" t="str">
            <v>C S</v>
          </cell>
          <cell r="E189" t="str">
            <v>PL200x200x12t</v>
          </cell>
          <cell r="G189" t="str">
            <v>16320- 80</v>
          </cell>
          <cell r="H189">
            <v>1</v>
          </cell>
          <cell r="I189" t="str">
            <v>7150/5900</v>
          </cell>
        </row>
        <row r="190">
          <cell r="A190" t="str">
            <v>03980-037</v>
          </cell>
          <cell r="C190" t="str">
            <v>ANCHOR BOLT</v>
          </cell>
          <cell r="D190" t="str">
            <v>C S</v>
          </cell>
          <cell r="E190" t="str">
            <v>M12x155L</v>
          </cell>
          <cell r="G190" t="str">
            <v>16320- 80</v>
          </cell>
          <cell r="H190">
            <v>4</v>
          </cell>
          <cell r="I190" t="str">
            <v>7150/5900</v>
          </cell>
        </row>
        <row r="192">
          <cell r="A192" t="str">
            <v>03980-038</v>
          </cell>
          <cell r="C192" t="str">
            <v>ANGLE</v>
          </cell>
          <cell r="D192" t="str">
            <v>C S</v>
          </cell>
          <cell r="E192" t="str">
            <v>L75x75x9</v>
          </cell>
          <cell r="F192">
            <v>284</v>
          </cell>
          <cell r="G192" t="str">
            <v>16320- 80</v>
          </cell>
          <cell r="H192">
            <v>1</v>
          </cell>
          <cell r="I192" t="str">
            <v>7150/5900</v>
          </cell>
        </row>
        <row r="193">
          <cell r="A193" t="str">
            <v>03980-038</v>
          </cell>
          <cell r="C193" t="str">
            <v>U-BOLT</v>
          </cell>
          <cell r="D193" t="str">
            <v>C S</v>
          </cell>
          <cell r="E193" t="str">
            <v>DN 80</v>
          </cell>
          <cell r="G193" t="str">
            <v>16320- 80</v>
          </cell>
          <cell r="H193">
            <v>1</v>
          </cell>
          <cell r="I193" t="str">
            <v>7150/5900</v>
          </cell>
        </row>
        <row r="194">
          <cell r="A194" t="str">
            <v>03980-038</v>
          </cell>
          <cell r="C194" t="str">
            <v>PLATE</v>
          </cell>
          <cell r="D194" t="str">
            <v>C S</v>
          </cell>
          <cell r="E194" t="str">
            <v>PL200x100x12t</v>
          </cell>
          <cell r="G194" t="str">
            <v>16320- 80</v>
          </cell>
          <cell r="H194">
            <v>1</v>
          </cell>
          <cell r="I194" t="str">
            <v>7150/5900</v>
          </cell>
        </row>
        <row r="195">
          <cell r="A195" t="str">
            <v>03980-038</v>
          </cell>
          <cell r="C195" t="str">
            <v>ANCHOR BOLT</v>
          </cell>
          <cell r="D195" t="str">
            <v>C S</v>
          </cell>
          <cell r="E195" t="str">
            <v>M12x155L</v>
          </cell>
          <cell r="G195" t="str">
            <v>16320- 80</v>
          </cell>
          <cell r="H195">
            <v>2</v>
          </cell>
          <cell r="I195" t="str">
            <v>7150/5900</v>
          </cell>
        </row>
      </sheetData>
      <sheetData sheetId="5"/>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설내1"/>
      <sheetName val="설품"/>
      <sheetName val="설산1"/>
      <sheetName val="설산2"/>
      <sheetName val="설산3"/>
      <sheetName val="설비SUPP산출"/>
      <sheetName val="현장지지물물량"/>
      <sheetName val="지지물집계"/>
      <sheetName val="현장집계3"/>
      <sheetName val="자바라1"/>
      <sheetName val="#REF"/>
      <sheetName val="해외 연수비용 계산-삭제"/>
      <sheetName val="세진설연2"/>
      <sheetName val="해외 기술훈련비 (합계)"/>
      <sheetName val="임율 Data"/>
      <sheetName val="INPUT"/>
      <sheetName val="Summary"/>
      <sheetName val="Structure"/>
    </sheetNames>
    <sheetDataSet>
      <sheetData sheetId="0"/>
      <sheetData sheetId="1"/>
      <sheetData sheetId="2"/>
      <sheetData sheetId="3"/>
      <sheetData sheetId="4"/>
      <sheetData sheetId="5"/>
      <sheetData sheetId="6" refreshError="1">
        <row r="9">
          <cell r="A9" t="str">
            <v>85500-001</v>
          </cell>
          <cell r="C9" t="str">
            <v>CHANNEL</v>
          </cell>
          <cell r="D9" t="str">
            <v>C S</v>
          </cell>
          <cell r="E9" t="str">
            <v>ㄷ100x50x5</v>
          </cell>
          <cell r="F9">
            <v>6100</v>
          </cell>
          <cell r="G9" t="str">
            <v>71730-150</v>
          </cell>
          <cell r="H9">
            <v>1</v>
          </cell>
          <cell r="I9" t="str">
            <v>5900/2200</v>
          </cell>
        </row>
        <row r="10">
          <cell r="A10" t="str">
            <v>85500-001</v>
          </cell>
          <cell r="C10" t="str">
            <v>ANGLE</v>
          </cell>
          <cell r="D10" t="str">
            <v>C S</v>
          </cell>
          <cell r="E10" t="str">
            <v>L50X50X6</v>
          </cell>
          <cell r="F10">
            <v>1800</v>
          </cell>
          <cell r="G10" t="str">
            <v>71730-150</v>
          </cell>
          <cell r="H10">
            <v>1</v>
          </cell>
          <cell r="I10" t="str">
            <v>5900/2200</v>
          </cell>
        </row>
        <row r="11">
          <cell r="A11" t="str">
            <v>85500-001</v>
          </cell>
          <cell r="C11" t="str">
            <v>U-BOLT</v>
          </cell>
          <cell r="D11" t="str">
            <v>C S</v>
          </cell>
          <cell r="E11" t="str">
            <v>DN150</v>
          </cell>
          <cell r="G11" t="str">
            <v>71730-150</v>
          </cell>
          <cell r="H11">
            <v>6</v>
          </cell>
          <cell r="I11" t="str">
            <v>5900/2200</v>
          </cell>
        </row>
        <row r="12">
          <cell r="A12" t="str">
            <v>85500-001</v>
          </cell>
          <cell r="C12" t="str">
            <v>ANCHOR BOLT</v>
          </cell>
          <cell r="D12" t="str">
            <v>C S</v>
          </cell>
          <cell r="E12" t="str">
            <v>M10x80L</v>
          </cell>
          <cell r="G12" t="str">
            <v>71730-150</v>
          </cell>
          <cell r="H12">
            <v>12</v>
          </cell>
          <cell r="I12" t="str">
            <v>5900/2200</v>
          </cell>
        </row>
        <row r="13">
          <cell r="A13" t="str">
            <v>85500-001</v>
          </cell>
          <cell r="C13" t="str">
            <v>STEEL PLATE</v>
          </cell>
          <cell r="D13" t="str">
            <v>C S</v>
          </cell>
          <cell r="E13" t="str">
            <v>PL150x150x9</v>
          </cell>
          <cell r="G13" t="str">
            <v>71730-150</v>
          </cell>
          <cell r="H13">
            <v>3</v>
          </cell>
          <cell r="I13" t="str">
            <v>5900/2200</v>
          </cell>
        </row>
        <row r="15">
          <cell r="A15" t="str">
            <v>85500-001</v>
          </cell>
          <cell r="C15" t="str">
            <v>CHANNEL</v>
          </cell>
          <cell r="D15" t="str">
            <v>C S</v>
          </cell>
          <cell r="E15" t="str">
            <v>ㄷ100x50x5</v>
          </cell>
          <cell r="F15">
            <v>2150</v>
          </cell>
          <cell r="G15" t="str">
            <v>71730-150</v>
          </cell>
          <cell r="H15">
            <v>5</v>
          </cell>
          <cell r="I15" t="str">
            <v>3150/2200</v>
          </cell>
        </row>
        <row r="16">
          <cell r="A16" t="str">
            <v>85500-001</v>
          </cell>
          <cell r="C16" t="str">
            <v>U-BOLT</v>
          </cell>
          <cell r="D16" t="str">
            <v>C S</v>
          </cell>
          <cell r="E16" t="str">
            <v>DN150</v>
          </cell>
          <cell r="G16" t="str">
            <v>71730-150</v>
          </cell>
          <cell r="H16">
            <v>10</v>
          </cell>
          <cell r="I16" t="str">
            <v>3150/2200</v>
          </cell>
        </row>
        <row r="17">
          <cell r="A17" t="str">
            <v>85500-001</v>
          </cell>
          <cell r="C17" t="str">
            <v>ANCHOR BOLT</v>
          </cell>
          <cell r="D17" t="str">
            <v>C S</v>
          </cell>
          <cell r="E17" t="str">
            <v>M10x80L</v>
          </cell>
          <cell r="G17" t="str">
            <v>71730-150</v>
          </cell>
          <cell r="H17">
            <v>40</v>
          </cell>
          <cell r="I17" t="str">
            <v>3150/2200</v>
          </cell>
        </row>
        <row r="18">
          <cell r="A18" t="str">
            <v>85500-001</v>
          </cell>
          <cell r="C18" t="str">
            <v>STEEL PLATE</v>
          </cell>
          <cell r="D18" t="str">
            <v>C S</v>
          </cell>
          <cell r="E18" t="str">
            <v>PL150x150x9</v>
          </cell>
          <cell r="G18" t="str">
            <v>71730-150</v>
          </cell>
          <cell r="H18">
            <v>10</v>
          </cell>
          <cell r="I18" t="str">
            <v>3150/2200</v>
          </cell>
        </row>
        <row r="20">
          <cell r="A20" t="str">
            <v>85500-001</v>
          </cell>
          <cell r="C20" t="str">
            <v>CHANNEL</v>
          </cell>
          <cell r="D20" t="str">
            <v>C S</v>
          </cell>
          <cell r="E20" t="str">
            <v>ㄷ100x50x5</v>
          </cell>
          <cell r="F20">
            <v>1900</v>
          </cell>
          <cell r="G20" t="str">
            <v>71730-150</v>
          </cell>
          <cell r="H20">
            <v>3</v>
          </cell>
          <cell r="I20" t="str">
            <v>3150/2200</v>
          </cell>
        </row>
        <row r="21">
          <cell r="A21" t="str">
            <v>85500-001</v>
          </cell>
          <cell r="C21" t="str">
            <v>U-BOLT</v>
          </cell>
          <cell r="D21" t="str">
            <v>C S</v>
          </cell>
          <cell r="E21" t="str">
            <v>DN150</v>
          </cell>
          <cell r="G21" t="str">
            <v>71730-150</v>
          </cell>
          <cell r="H21">
            <v>6</v>
          </cell>
          <cell r="I21" t="str">
            <v>3150/2200</v>
          </cell>
        </row>
        <row r="22">
          <cell r="A22" t="str">
            <v>85500-001</v>
          </cell>
          <cell r="C22" t="str">
            <v>ANCHOR BOLT</v>
          </cell>
          <cell r="D22" t="str">
            <v>C S</v>
          </cell>
          <cell r="E22" t="str">
            <v>M10x80L</v>
          </cell>
          <cell r="G22" t="str">
            <v>71730-150</v>
          </cell>
          <cell r="H22">
            <v>12</v>
          </cell>
          <cell r="I22" t="str">
            <v>3150/2200</v>
          </cell>
        </row>
        <row r="23">
          <cell r="A23" t="str">
            <v>85500-001</v>
          </cell>
          <cell r="C23" t="str">
            <v>STEEL PLATE</v>
          </cell>
          <cell r="D23" t="str">
            <v>C S</v>
          </cell>
          <cell r="E23" t="str">
            <v>PL150x150x9</v>
          </cell>
          <cell r="G23" t="str">
            <v>71730-150</v>
          </cell>
          <cell r="H23">
            <v>3</v>
          </cell>
          <cell r="I23" t="str">
            <v>3150/2200</v>
          </cell>
        </row>
      </sheetData>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현장배관물량"/>
      <sheetName val="현장배관물량집계"/>
      <sheetName val="현장지지물물량"/>
      <sheetName val="지지물집계"/>
      <sheetName val="현장집계3"/>
      <sheetName val="Sheet1"/>
      <sheetName val="설산1.나"/>
      <sheetName val="본사S"/>
      <sheetName val="Output"/>
      <sheetName val="세진설연1"/>
      <sheetName val="sch 5-8"/>
    </sheetNames>
    <sheetDataSet>
      <sheetData sheetId="0" refreshError="1"/>
      <sheetData sheetId="1" refreshError="1"/>
      <sheetData sheetId="2" refreshError="1">
        <row r="1">
          <cell r="F1" t="str">
            <v>*********************************</v>
          </cell>
        </row>
        <row r="2">
          <cell r="F2" t="str">
            <v>*****   FIELD FAB. SUPPORT  *****</v>
          </cell>
        </row>
        <row r="3">
          <cell r="F3" t="str">
            <v>*********************************</v>
          </cell>
        </row>
        <row r="4">
          <cell r="A4" t="str">
            <v>=</v>
          </cell>
          <cell r="B4" t="str">
            <v>=</v>
          </cell>
          <cell r="C4" t="str">
            <v>=</v>
          </cell>
          <cell r="D4" t="str">
            <v>=</v>
          </cell>
          <cell r="E4" t="str">
            <v>=</v>
          </cell>
          <cell r="F4" t="str">
            <v>=</v>
          </cell>
          <cell r="G4" t="str">
            <v>=</v>
          </cell>
          <cell r="H4" t="str">
            <v>=</v>
          </cell>
          <cell r="I4" t="str">
            <v>=</v>
          </cell>
          <cell r="J4" t="str">
            <v>=</v>
          </cell>
          <cell r="K4" t="str">
            <v>=</v>
          </cell>
          <cell r="L4" t="str">
            <v>=</v>
          </cell>
          <cell r="M4" t="str">
            <v>=</v>
          </cell>
          <cell r="N4" t="str">
            <v>=</v>
          </cell>
          <cell r="Q4" t="str">
            <v>=</v>
          </cell>
        </row>
        <row r="5">
          <cell r="A5" t="str">
            <v>DWG.NO.</v>
          </cell>
          <cell r="B5" t="str">
            <v>SPEC</v>
          </cell>
          <cell r="C5" t="str">
            <v>ITEM</v>
          </cell>
          <cell r="D5" t="str">
            <v>MATERIAL</v>
          </cell>
          <cell r="E5" t="str">
            <v xml:space="preserve">    SIZE</v>
          </cell>
          <cell r="F5" t="str">
            <v>LANGTH</v>
          </cell>
          <cell r="G5" t="str">
            <v>SYS.-DIA</v>
          </cell>
          <cell r="H5" t="str">
            <v>TOTAL</v>
          </cell>
          <cell r="I5" t="str">
            <v>ELEVATION</v>
          </cell>
          <cell r="K5" t="str">
            <v>IN/OUT</v>
          </cell>
          <cell r="L5" t="str">
            <v>UNIT WT</v>
          </cell>
          <cell r="M5" t="str">
            <v>TOTAL WT</v>
          </cell>
          <cell r="N5" t="str">
            <v>REMARK</v>
          </cell>
          <cell r="P5" t="str">
            <v>SET</v>
          </cell>
          <cell r="Q5" t="str">
            <v>Q'TY</v>
          </cell>
        </row>
        <row r="6">
          <cell r="A6" t="str">
            <v>=</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t="str">
            <v>=</v>
          </cell>
          <cell r="Q6" t="str">
            <v>=</v>
          </cell>
        </row>
        <row r="8">
          <cell r="A8" t="str">
            <v>HBY</v>
          </cell>
        </row>
        <row r="9">
          <cell r="A9" t="str">
            <v>85500-001</v>
          </cell>
          <cell r="C9" t="str">
            <v>CHANNEL</v>
          </cell>
          <cell r="D9" t="str">
            <v>C S</v>
          </cell>
          <cell r="E9" t="str">
            <v>ㄷ100x50x5</v>
          </cell>
          <cell r="F9">
            <v>6100</v>
          </cell>
          <cell r="G9" t="str">
            <v>71730-150</v>
          </cell>
          <cell r="H9">
            <v>1</v>
          </cell>
          <cell r="I9" t="str">
            <v>5900/2200</v>
          </cell>
        </row>
        <row r="10">
          <cell r="A10" t="str">
            <v>85500-001</v>
          </cell>
          <cell r="C10" t="str">
            <v>ANGLE</v>
          </cell>
          <cell r="D10" t="str">
            <v>C S</v>
          </cell>
          <cell r="E10" t="str">
            <v>L50X50X6</v>
          </cell>
          <cell r="F10">
            <v>1800</v>
          </cell>
          <cell r="G10" t="str">
            <v>71730-150</v>
          </cell>
          <cell r="H10">
            <v>1</v>
          </cell>
          <cell r="I10" t="str">
            <v>5900/2200</v>
          </cell>
        </row>
        <row r="11">
          <cell r="A11" t="str">
            <v>85500-001</v>
          </cell>
          <cell r="C11" t="str">
            <v>U-BOLT</v>
          </cell>
          <cell r="D11" t="str">
            <v>C S</v>
          </cell>
          <cell r="E11" t="str">
            <v>DN150</v>
          </cell>
          <cell r="G11" t="str">
            <v>71730-150</v>
          </cell>
          <cell r="H11">
            <v>6</v>
          </cell>
          <cell r="I11" t="str">
            <v>5900/2200</v>
          </cell>
        </row>
        <row r="12">
          <cell r="A12" t="str">
            <v>85500-001</v>
          </cell>
          <cell r="C12" t="str">
            <v>ANCHOR BOLT</v>
          </cell>
          <cell r="D12" t="str">
            <v>C S</v>
          </cell>
          <cell r="E12" t="str">
            <v>M10x80L</v>
          </cell>
          <cell r="G12" t="str">
            <v>71730-150</v>
          </cell>
          <cell r="H12">
            <v>12</v>
          </cell>
          <cell r="I12" t="str">
            <v>5900/2200</v>
          </cell>
        </row>
        <row r="13">
          <cell r="A13" t="str">
            <v>85500-001</v>
          </cell>
          <cell r="C13" t="str">
            <v>STEEL PLATE</v>
          </cell>
          <cell r="D13" t="str">
            <v>C S</v>
          </cell>
          <cell r="E13" t="str">
            <v>PL150x150x9</v>
          </cell>
          <cell r="G13" t="str">
            <v>71730-150</v>
          </cell>
          <cell r="H13">
            <v>3</v>
          </cell>
          <cell r="I13" t="str">
            <v>5900/2200</v>
          </cell>
        </row>
        <row r="15">
          <cell r="A15" t="str">
            <v>85500-001</v>
          </cell>
          <cell r="C15" t="str">
            <v>CHANNEL</v>
          </cell>
          <cell r="D15" t="str">
            <v>C S</v>
          </cell>
          <cell r="E15" t="str">
            <v>ㄷ100x50x5</v>
          </cell>
          <cell r="F15">
            <v>2150</v>
          </cell>
          <cell r="G15" t="str">
            <v>71730-150</v>
          </cell>
          <cell r="H15">
            <v>5</v>
          </cell>
          <cell r="I15" t="str">
            <v>3150/2200</v>
          </cell>
        </row>
        <row r="16">
          <cell r="A16" t="str">
            <v>85500-001</v>
          </cell>
          <cell r="C16" t="str">
            <v>U-BOLT</v>
          </cell>
          <cell r="D16" t="str">
            <v>C S</v>
          </cell>
          <cell r="E16" t="str">
            <v>DN150</v>
          </cell>
          <cell r="G16" t="str">
            <v>71730-150</v>
          </cell>
          <cell r="H16">
            <v>10</v>
          </cell>
          <cell r="I16" t="str">
            <v>3150/2200</v>
          </cell>
        </row>
        <row r="17">
          <cell r="A17" t="str">
            <v>85500-001</v>
          </cell>
          <cell r="C17" t="str">
            <v>ANCHOR BOLT</v>
          </cell>
          <cell r="D17" t="str">
            <v>C S</v>
          </cell>
          <cell r="E17" t="str">
            <v>M10x80L</v>
          </cell>
          <cell r="G17" t="str">
            <v>71730-150</v>
          </cell>
          <cell r="H17">
            <v>40</v>
          </cell>
          <cell r="I17" t="str">
            <v>3150/2200</v>
          </cell>
        </row>
        <row r="18">
          <cell r="A18" t="str">
            <v>85500-001</v>
          </cell>
          <cell r="C18" t="str">
            <v>STEEL PLATE</v>
          </cell>
          <cell r="D18" t="str">
            <v>C S</v>
          </cell>
          <cell r="E18" t="str">
            <v>PL150x150x9</v>
          </cell>
          <cell r="G18" t="str">
            <v>71730-150</v>
          </cell>
          <cell r="H18">
            <v>10</v>
          </cell>
          <cell r="I18" t="str">
            <v>3150/2200</v>
          </cell>
        </row>
        <row r="20">
          <cell r="A20" t="str">
            <v>85500-001</v>
          </cell>
          <cell r="C20" t="str">
            <v>CHANNEL</v>
          </cell>
          <cell r="D20" t="str">
            <v>C S</v>
          </cell>
          <cell r="E20" t="str">
            <v>ㄷ100x50x5</v>
          </cell>
          <cell r="F20">
            <v>1900</v>
          </cell>
          <cell r="G20" t="str">
            <v>71730-150</v>
          </cell>
          <cell r="H20">
            <v>3</v>
          </cell>
          <cell r="I20" t="str">
            <v>3150/2200</v>
          </cell>
        </row>
        <row r="21">
          <cell r="A21" t="str">
            <v>85500-001</v>
          </cell>
          <cell r="C21" t="str">
            <v>U-BOLT</v>
          </cell>
          <cell r="D21" t="str">
            <v>C S</v>
          </cell>
          <cell r="E21" t="str">
            <v>DN150</v>
          </cell>
          <cell r="G21" t="str">
            <v>71730-150</v>
          </cell>
          <cell r="H21">
            <v>6</v>
          </cell>
          <cell r="I21" t="str">
            <v>3150/2200</v>
          </cell>
        </row>
        <row r="22">
          <cell r="A22" t="str">
            <v>85500-001</v>
          </cell>
          <cell r="C22" t="str">
            <v>ANCHOR BOLT</v>
          </cell>
          <cell r="D22" t="str">
            <v>C S</v>
          </cell>
          <cell r="E22" t="str">
            <v>M10x80L</v>
          </cell>
          <cell r="G22" t="str">
            <v>71730-150</v>
          </cell>
          <cell r="H22">
            <v>12</v>
          </cell>
          <cell r="I22" t="str">
            <v>3150/2200</v>
          </cell>
        </row>
        <row r="23">
          <cell r="A23" t="str">
            <v>85500-001</v>
          </cell>
          <cell r="C23" t="str">
            <v>STEEL PLATE</v>
          </cell>
          <cell r="D23" t="str">
            <v>C S</v>
          </cell>
          <cell r="E23" t="str">
            <v>PL150x150x9</v>
          </cell>
          <cell r="G23" t="str">
            <v>71730-150</v>
          </cell>
          <cell r="H23">
            <v>3</v>
          </cell>
          <cell r="I23" t="str">
            <v>3150/2200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현장설계분"/>
      <sheetName val="본사설계분"/>
      <sheetName val="가설배관"/>
      <sheetName val="본사S"/>
      <sheetName val="현장S"/>
      <sheetName val="C1"/>
      <sheetName val="C2"/>
      <sheetName val="공계"/>
      <sheetName val="C3"/>
      <sheetName val="공설"/>
      <sheetName val="C4"/>
      <sheetName val="C5"/>
      <sheetName val="도면"/>
      <sheetName val="C6"/>
      <sheetName val="공정표"/>
      <sheetName val="C7"/>
      <sheetName val="예"/>
      <sheetName val="C8"/>
      <sheetName val="명"/>
      <sheetName val="C9"/>
      <sheetName val="내1가"/>
      <sheetName val="내1다"/>
      <sheetName val="설내"/>
      <sheetName val="소내"/>
      <sheetName val="내2"/>
      <sheetName val="C10"/>
      <sheetName val="품1"/>
      <sheetName val="품2"/>
      <sheetName val="품3"/>
      <sheetName val="설품"/>
      <sheetName val="소품"/>
      <sheetName val="C11"/>
      <sheetName val="산1"/>
      <sheetName val="산2.가.1"/>
      <sheetName val="산2.가.2"/>
      <sheetName val="산2.나"/>
      <sheetName val="설산1.가"/>
      <sheetName val="설산1.나"/>
      <sheetName val="설산2"/>
      <sheetName val="소산1.가"/>
      <sheetName val="소산1.나"/>
      <sheetName val="소산2"/>
      <sheetName val="산3"/>
      <sheetName val="산4"/>
      <sheetName val="산5"/>
      <sheetName val="산6"/>
      <sheetName val="산7"/>
      <sheetName val="산8"/>
      <sheetName val="산9"/>
      <sheetName val="산10"/>
      <sheetName val="산11"/>
      <sheetName val="C12"/>
      <sheetName val="산2_가_1"/>
      <sheetName val="산2_가_2"/>
      <sheetName val="산2_나"/>
      <sheetName val="설산1_가"/>
      <sheetName val="설산1_나"/>
      <sheetName val="소산1_가"/>
      <sheetName val="소산1_나"/>
      <sheetName val="현장지지물물량"/>
      <sheetName val="rough"/>
      <sheetName val="자바라1"/>
      <sheetName val="#REF"/>
      <sheetName val="해외 연수비용 계산-삭제"/>
      <sheetName val="한전제출1차"/>
      <sheetName val="해외 기술훈련비 (합계)"/>
      <sheetName val="임율 Data"/>
      <sheetName val="산2_가_11"/>
      <sheetName val="산2_가_21"/>
      <sheetName val="산2_나1"/>
      <sheetName val="설산1_가1"/>
      <sheetName val="설산1_나1"/>
      <sheetName val="소산1_가1"/>
      <sheetName val="소산1_나1"/>
    </sheetNames>
    <sheetDataSet>
      <sheetData sheetId="0" refreshError="1"/>
      <sheetData sheetId="1" refreshError="1"/>
      <sheetData sheetId="2" refreshError="1"/>
      <sheetData sheetId="3" refreshError="1">
        <row r="10">
          <cell r="B10" t="str">
            <v>03980-028</v>
          </cell>
          <cell r="C10" t="str">
            <v>U-BOLT</v>
          </cell>
          <cell r="D10" t="str">
            <v>C S</v>
          </cell>
          <cell r="E10" t="str">
            <v>DN150</v>
          </cell>
          <cell r="G10" t="str">
            <v>16100-150</v>
          </cell>
          <cell r="H10">
            <v>4</v>
          </cell>
          <cell r="K10">
            <v>0.75800000000000001</v>
          </cell>
          <cell r="L10">
            <v>3.032</v>
          </cell>
          <cell r="M10">
            <v>760</v>
          </cell>
          <cell r="N10">
            <v>3040</v>
          </cell>
          <cell r="O10" t="str">
            <v>물정 '98.11.p78</v>
          </cell>
        </row>
        <row r="11">
          <cell r="B11" t="str">
            <v>03980-042</v>
          </cell>
          <cell r="C11" t="str">
            <v>STUD BOLT</v>
          </cell>
          <cell r="D11" t="str">
            <v>C S</v>
          </cell>
          <cell r="E11" t="str">
            <v>M15x60L</v>
          </cell>
          <cell r="G11" t="str">
            <v>16100-150</v>
          </cell>
          <cell r="H11">
            <v>24</v>
          </cell>
          <cell r="K11">
            <v>0.2</v>
          </cell>
          <cell r="L11">
            <v>4.8</v>
          </cell>
          <cell r="M11">
            <v>137</v>
          </cell>
          <cell r="N11">
            <v>3288</v>
          </cell>
          <cell r="O11" t="str">
            <v>물정 '98.11 p.74</v>
          </cell>
        </row>
        <row r="12">
          <cell r="B12" t="str">
            <v>03980-043</v>
          </cell>
          <cell r="C12" t="str">
            <v>PLATE</v>
          </cell>
          <cell r="D12" t="str">
            <v>C S</v>
          </cell>
          <cell r="E12" t="str">
            <v>PL200x38x12t</v>
          </cell>
          <cell r="G12" t="str">
            <v>16100-150</v>
          </cell>
          <cell r="H12">
            <v>4</v>
          </cell>
          <cell r="K12">
            <v>0.71599999999999997</v>
          </cell>
          <cell r="L12">
            <v>2.8639999999999999</v>
          </cell>
          <cell r="M12">
            <v>289</v>
          </cell>
          <cell r="N12">
            <v>1156</v>
          </cell>
          <cell r="O12" t="str">
            <v>물정 '98.11 p.50</v>
          </cell>
        </row>
        <row r="13">
          <cell r="B13" t="str">
            <v>03980-035</v>
          </cell>
          <cell r="C13" t="str">
            <v>PLATE</v>
          </cell>
          <cell r="D13" t="str">
            <v>C S</v>
          </cell>
          <cell r="E13" t="str">
            <v>PL200x200x12t</v>
          </cell>
          <cell r="G13" t="str">
            <v>16100-150</v>
          </cell>
          <cell r="H13">
            <v>7</v>
          </cell>
          <cell r="K13">
            <v>3.7679999999999998</v>
          </cell>
          <cell r="L13">
            <v>26.376000000000001</v>
          </cell>
          <cell r="M13">
            <v>1526</v>
          </cell>
          <cell r="N13">
            <v>10682</v>
          </cell>
          <cell r="O13" t="str">
            <v>물정 '98.11 p.50</v>
          </cell>
        </row>
        <row r="14">
          <cell r="B14" t="str">
            <v>03980-042</v>
          </cell>
          <cell r="C14" t="str">
            <v>PLATE</v>
          </cell>
          <cell r="D14" t="str">
            <v>C S</v>
          </cell>
          <cell r="E14" t="str">
            <v>PL150x150x9t</v>
          </cell>
          <cell r="G14" t="str">
            <v>16100-150</v>
          </cell>
          <cell r="H14">
            <v>2</v>
          </cell>
          <cell r="K14">
            <v>1.59</v>
          </cell>
          <cell r="L14">
            <v>3.18</v>
          </cell>
          <cell r="M14">
            <v>659</v>
          </cell>
          <cell r="N14">
            <v>1318</v>
          </cell>
          <cell r="O14" t="str">
            <v>물정 '98.11 p.50</v>
          </cell>
        </row>
        <row r="15">
          <cell r="B15" t="str">
            <v>03980-042</v>
          </cell>
          <cell r="C15" t="str">
            <v>PIPE STD WT</v>
          </cell>
          <cell r="D15" t="str">
            <v>C S</v>
          </cell>
          <cell r="E15" t="str">
            <v>DN100</v>
          </cell>
          <cell r="F15">
            <v>143</v>
          </cell>
          <cell r="G15" t="str">
            <v>16100-150</v>
          </cell>
          <cell r="H15">
            <v>2</v>
          </cell>
          <cell r="K15">
            <v>2.2999999999999998</v>
          </cell>
          <cell r="L15">
            <v>4.5999999999999996</v>
          </cell>
          <cell r="M15">
            <v>1301.443</v>
          </cell>
          <cell r="N15">
            <v>2602</v>
          </cell>
          <cell r="O15" t="str">
            <v>물자 '98.11 p.476</v>
          </cell>
        </row>
        <row r="16">
          <cell r="B16" t="str">
            <v>03980-028</v>
          </cell>
          <cell r="C16" t="str">
            <v>H-BEAM</v>
          </cell>
          <cell r="D16" t="str">
            <v>C S</v>
          </cell>
          <cell r="E16" t="str">
            <v>H100x100x6x8</v>
          </cell>
          <cell r="F16">
            <v>1385</v>
          </cell>
          <cell r="G16" t="str">
            <v>16100-150</v>
          </cell>
          <cell r="H16">
            <v>1</v>
          </cell>
          <cell r="K16">
            <v>23.821999999999999</v>
          </cell>
          <cell r="L16">
            <v>23.821999999999999</v>
          </cell>
          <cell r="M16">
            <v>11553</v>
          </cell>
          <cell r="N16">
            <v>11553</v>
          </cell>
          <cell r="O16" t="str">
            <v>물정 '98.11 p.47</v>
          </cell>
        </row>
        <row r="17">
          <cell r="B17" t="str">
            <v>03980-029</v>
          </cell>
          <cell r="C17" t="str">
            <v>H-BEAM</v>
          </cell>
          <cell r="D17" t="str">
            <v>C S</v>
          </cell>
          <cell r="E17" t="str">
            <v>H100x100x6x8</v>
          </cell>
          <cell r="F17">
            <v>1780</v>
          </cell>
          <cell r="G17" t="str">
            <v>16100-150</v>
          </cell>
          <cell r="H17">
            <v>1</v>
          </cell>
          <cell r="K17">
            <v>30.616</v>
          </cell>
          <cell r="L17">
            <v>30.616</v>
          </cell>
          <cell r="M17">
            <v>14848</v>
          </cell>
          <cell r="N17">
            <v>14848</v>
          </cell>
          <cell r="O17" t="str">
            <v>물정 '98.11 p.47</v>
          </cell>
        </row>
        <row r="18">
          <cell r="B18" t="str">
            <v>03980-035</v>
          </cell>
          <cell r="C18" t="str">
            <v>H-BEAM</v>
          </cell>
          <cell r="D18" t="str">
            <v>C S</v>
          </cell>
          <cell r="E18" t="str">
            <v>H100x100x6x8</v>
          </cell>
          <cell r="F18">
            <v>462</v>
          </cell>
          <cell r="G18" t="str">
            <v>16100-150</v>
          </cell>
          <cell r="H18">
            <v>1</v>
          </cell>
          <cell r="K18">
            <v>7.9470000000000001</v>
          </cell>
          <cell r="L18">
            <v>7.9470000000000001</v>
          </cell>
          <cell r="M18">
            <v>3854</v>
          </cell>
          <cell r="N18">
            <v>3854</v>
          </cell>
          <cell r="O18" t="str">
            <v>물정 '98.11 p.47</v>
          </cell>
        </row>
        <row r="19">
          <cell r="B19" t="str">
            <v>03980-028</v>
          </cell>
          <cell r="C19" t="str">
            <v>CLIP ANGLE</v>
          </cell>
          <cell r="D19" t="str">
            <v>C S</v>
          </cell>
          <cell r="E19" t="str">
            <v>L75x75x9</v>
          </cell>
          <cell r="F19">
            <v>50</v>
          </cell>
          <cell r="G19" t="str">
            <v>16100-150</v>
          </cell>
          <cell r="H19">
            <v>4</v>
          </cell>
          <cell r="K19">
            <v>0.498</v>
          </cell>
          <cell r="L19">
            <v>1.992</v>
          </cell>
          <cell r="M19">
            <v>196</v>
          </cell>
          <cell r="N19">
            <v>784</v>
          </cell>
          <cell r="O19" t="str">
            <v>물정 '98.11 p.45</v>
          </cell>
        </row>
        <row r="20">
          <cell r="B20" t="str">
            <v>03980-042</v>
          </cell>
          <cell r="C20" t="str">
            <v>CHANNEL</v>
          </cell>
          <cell r="D20" t="str">
            <v>C S</v>
          </cell>
          <cell r="E20" t="str">
            <v>C100x50x5x7.5</v>
          </cell>
          <cell r="F20">
            <v>628</v>
          </cell>
          <cell r="G20" t="str">
            <v>16100-150</v>
          </cell>
          <cell r="H20">
            <v>6</v>
          </cell>
          <cell r="K20">
            <v>5.8780000000000001</v>
          </cell>
          <cell r="L20">
            <v>35.268000000000001</v>
          </cell>
          <cell r="M20">
            <v>2468</v>
          </cell>
          <cell r="N20">
            <v>14808</v>
          </cell>
          <cell r="O20" t="str">
            <v>물정 '98.11 p.46</v>
          </cell>
        </row>
        <row r="21">
          <cell r="B21" t="str">
            <v>03980-042</v>
          </cell>
          <cell r="C21" t="str">
            <v>CHANNEL</v>
          </cell>
          <cell r="D21" t="str">
            <v>C S</v>
          </cell>
          <cell r="E21" t="str">
            <v>C100x50x5x7.5</v>
          </cell>
          <cell r="F21">
            <v>250</v>
          </cell>
          <cell r="G21" t="str">
            <v>16100-150</v>
          </cell>
          <cell r="H21">
            <v>6</v>
          </cell>
          <cell r="K21">
            <v>2.34</v>
          </cell>
          <cell r="L21">
            <v>14.04</v>
          </cell>
          <cell r="M21">
            <v>982</v>
          </cell>
          <cell r="N21">
            <v>5892</v>
          </cell>
          <cell r="O21" t="str">
            <v>물정 '98.11 p.46</v>
          </cell>
        </row>
        <row r="22">
          <cell r="B22" t="str">
            <v>03980-035</v>
          </cell>
          <cell r="C22" t="str">
            <v>ANGLE</v>
          </cell>
          <cell r="D22" t="str">
            <v>C S</v>
          </cell>
          <cell r="E22" t="str">
            <v>L75x75x9</v>
          </cell>
          <cell r="F22">
            <v>330</v>
          </cell>
          <cell r="G22" t="str">
            <v>16100-150</v>
          </cell>
          <cell r="H22">
            <v>1</v>
          </cell>
          <cell r="K22">
            <v>3.2869999999999999</v>
          </cell>
          <cell r="L22">
            <v>3.2869999999999999</v>
          </cell>
          <cell r="M22">
            <v>1295</v>
          </cell>
          <cell r="N22">
            <v>1295</v>
          </cell>
          <cell r="O22" t="str">
            <v>물정 '98.11 p.45</v>
          </cell>
        </row>
        <row r="23">
          <cell r="B23" t="str">
            <v>03980-044</v>
          </cell>
          <cell r="C23" t="str">
            <v>ANGLE</v>
          </cell>
          <cell r="D23" t="str">
            <v>C S</v>
          </cell>
          <cell r="E23" t="str">
            <v>L100x100x10</v>
          </cell>
          <cell r="F23">
            <v>280</v>
          </cell>
          <cell r="G23" t="str">
            <v>16100-150</v>
          </cell>
          <cell r="H23">
            <v>3</v>
          </cell>
          <cell r="K23">
            <v>4.1719999999999997</v>
          </cell>
          <cell r="L23">
            <v>12.516</v>
          </cell>
          <cell r="M23">
            <v>1756</v>
          </cell>
          <cell r="N23">
            <v>5268</v>
          </cell>
          <cell r="O23" t="str">
            <v>물정 '98.11 p.45</v>
          </cell>
        </row>
        <row r="24">
          <cell r="B24" t="str">
            <v>03980-044</v>
          </cell>
          <cell r="C24" t="str">
            <v>ANGLE</v>
          </cell>
          <cell r="D24" t="str">
            <v>C S</v>
          </cell>
          <cell r="E24" t="str">
            <v>L100x100x10</v>
          </cell>
          <cell r="F24">
            <v>250</v>
          </cell>
          <cell r="G24" t="str">
            <v>16100-150</v>
          </cell>
          <cell r="H24">
            <v>2</v>
          </cell>
          <cell r="K24">
            <v>3.7250000000000001</v>
          </cell>
          <cell r="L24">
            <v>7.45</v>
          </cell>
          <cell r="M24">
            <v>1568</v>
          </cell>
          <cell r="N24">
            <v>3136</v>
          </cell>
          <cell r="O24" t="str">
            <v>물정 '98.11 p.45</v>
          </cell>
        </row>
        <row r="25">
          <cell r="B25" t="str">
            <v>03980-045</v>
          </cell>
          <cell r="C25" t="str">
            <v>ANGLE</v>
          </cell>
          <cell r="D25" t="str">
            <v>C S</v>
          </cell>
          <cell r="E25" t="str">
            <v>L100x100x10</v>
          </cell>
          <cell r="F25">
            <v>535</v>
          </cell>
          <cell r="G25" t="str">
            <v>16100-150</v>
          </cell>
          <cell r="H25">
            <v>1</v>
          </cell>
          <cell r="K25">
            <v>7.9720000000000004</v>
          </cell>
          <cell r="L25">
            <v>7.9720000000000004</v>
          </cell>
          <cell r="M25">
            <v>3356</v>
          </cell>
          <cell r="N25">
            <v>3356</v>
          </cell>
          <cell r="O25" t="str">
            <v>물정 '98.11 p.45</v>
          </cell>
        </row>
        <row r="26">
          <cell r="B26" t="str">
            <v>03980-035</v>
          </cell>
          <cell r="C26" t="str">
            <v>ANCHOR BOLT</v>
          </cell>
          <cell r="D26" t="str">
            <v>C S</v>
          </cell>
          <cell r="E26" t="str">
            <v>M16x177L</v>
          </cell>
          <cell r="G26" t="str">
            <v>16100-150</v>
          </cell>
          <cell r="H26">
            <v>4</v>
          </cell>
          <cell r="K26">
            <v>0.34699999999999998</v>
          </cell>
          <cell r="L26">
            <v>1.3879999999999999</v>
          </cell>
          <cell r="M26">
            <v>1660</v>
          </cell>
          <cell r="N26">
            <v>6640</v>
          </cell>
          <cell r="O26" t="str">
            <v>견적가</v>
          </cell>
        </row>
        <row r="27">
          <cell r="B27" t="str">
            <v>03980-028</v>
          </cell>
          <cell r="C27" t="str">
            <v>U-BOLT</v>
          </cell>
          <cell r="D27" t="str">
            <v>C S</v>
          </cell>
          <cell r="E27" t="str">
            <v>DN100</v>
          </cell>
          <cell r="G27" t="str">
            <v>16100-100</v>
          </cell>
          <cell r="H27">
            <v>4</v>
          </cell>
          <cell r="K27">
            <v>0.54900000000000004</v>
          </cell>
          <cell r="L27">
            <v>2.1960000000000002</v>
          </cell>
          <cell r="M27">
            <v>510</v>
          </cell>
          <cell r="N27">
            <v>2040</v>
          </cell>
          <cell r="O27" t="str">
            <v>물정 '98.11.p78</v>
          </cell>
        </row>
        <row r="28">
          <cell r="B28" t="str">
            <v>03980-040</v>
          </cell>
          <cell r="C28" t="str">
            <v>STUD BOLT</v>
          </cell>
          <cell r="D28" t="str">
            <v>C S</v>
          </cell>
          <cell r="E28" t="str">
            <v>M15x60L</v>
          </cell>
          <cell r="G28" t="str">
            <v>16100-100</v>
          </cell>
          <cell r="H28">
            <v>12</v>
          </cell>
          <cell r="K28">
            <v>0.2</v>
          </cell>
          <cell r="L28">
            <v>2.4</v>
          </cell>
          <cell r="M28">
            <v>137</v>
          </cell>
          <cell r="N28">
            <v>1644</v>
          </cell>
          <cell r="O28" t="str">
            <v>물정 '98.11 p.74</v>
          </cell>
        </row>
        <row r="29">
          <cell r="B29" t="str">
            <v>03980-040</v>
          </cell>
          <cell r="C29" t="str">
            <v>PLATE</v>
          </cell>
          <cell r="D29" t="str">
            <v>C S</v>
          </cell>
          <cell r="E29" t="str">
            <v>PL200x200x12t</v>
          </cell>
          <cell r="G29" t="str">
            <v>16100-100</v>
          </cell>
          <cell r="H29">
            <v>3</v>
          </cell>
          <cell r="K29">
            <v>3.7679999999999998</v>
          </cell>
          <cell r="L29">
            <v>11.304</v>
          </cell>
          <cell r="M29">
            <v>1526</v>
          </cell>
          <cell r="N29">
            <v>4578</v>
          </cell>
          <cell r="O29" t="str">
            <v>물정 '98.11 p.50</v>
          </cell>
        </row>
        <row r="30">
          <cell r="B30" t="str">
            <v>03980-040</v>
          </cell>
          <cell r="C30" t="str">
            <v>PLATE</v>
          </cell>
          <cell r="D30" t="str">
            <v>C S</v>
          </cell>
          <cell r="E30" t="str">
            <v>PL180x150x12t</v>
          </cell>
          <cell r="G30" t="str">
            <v>16100-100</v>
          </cell>
          <cell r="H30">
            <v>3</v>
          </cell>
          <cell r="K30">
            <v>2.5430000000000001</v>
          </cell>
          <cell r="L30">
            <v>7.6289999999999996</v>
          </cell>
          <cell r="M30">
            <v>1029</v>
          </cell>
          <cell r="N30">
            <v>3087</v>
          </cell>
          <cell r="O30" t="str">
            <v>물정 '98.11 p.50</v>
          </cell>
        </row>
        <row r="31">
          <cell r="B31" t="str">
            <v>03980-040</v>
          </cell>
          <cell r="C31" t="str">
            <v>LUG PLATE</v>
          </cell>
          <cell r="D31" t="str">
            <v>S S</v>
          </cell>
          <cell r="E31" t="str">
            <v>PL100x50x12t</v>
          </cell>
          <cell r="G31" t="str">
            <v>16100-100</v>
          </cell>
          <cell r="H31">
            <v>2</v>
          </cell>
          <cell r="K31">
            <v>0.47099999999999997</v>
          </cell>
          <cell r="L31">
            <v>0.94199999999999995</v>
          </cell>
          <cell r="M31">
            <v>190</v>
          </cell>
          <cell r="N31">
            <v>380</v>
          </cell>
          <cell r="O31" t="str">
            <v>물정 '98.11 p.50</v>
          </cell>
        </row>
        <row r="32">
          <cell r="B32" t="str">
            <v>03980-027</v>
          </cell>
          <cell r="C32" t="str">
            <v>H-BEAM</v>
          </cell>
          <cell r="D32" t="str">
            <v>C S</v>
          </cell>
          <cell r="E32" t="str">
            <v>H100x100x6x8</v>
          </cell>
          <cell r="F32">
            <v>1385</v>
          </cell>
          <cell r="G32" t="str">
            <v>16100-100</v>
          </cell>
          <cell r="H32">
            <v>1</v>
          </cell>
          <cell r="K32">
            <v>23.821999999999999</v>
          </cell>
          <cell r="L32">
            <v>23.821999999999999</v>
          </cell>
          <cell r="M32">
            <v>11553</v>
          </cell>
          <cell r="N32">
            <v>11553</v>
          </cell>
          <cell r="O32" t="str">
            <v>물정 '98.11 p.47</v>
          </cell>
        </row>
        <row r="33">
          <cell r="B33" t="str">
            <v>03980-027</v>
          </cell>
          <cell r="C33" t="str">
            <v>CLIP ANGLE</v>
          </cell>
          <cell r="D33" t="str">
            <v>C S</v>
          </cell>
          <cell r="E33" t="str">
            <v>L75x75x9</v>
          </cell>
          <cell r="F33">
            <v>50</v>
          </cell>
          <cell r="G33" t="str">
            <v>16100-100</v>
          </cell>
          <cell r="H33">
            <v>2</v>
          </cell>
          <cell r="K33">
            <v>0.498</v>
          </cell>
          <cell r="L33">
            <v>0.996</v>
          </cell>
          <cell r="M33">
            <v>196</v>
          </cell>
          <cell r="N33">
            <v>392</v>
          </cell>
          <cell r="O33" t="str">
            <v>물정 '98.11 p.45</v>
          </cell>
        </row>
        <row r="34">
          <cell r="B34" t="str">
            <v>03980-040</v>
          </cell>
          <cell r="C34" t="str">
            <v>ANGLE</v>
          </cell>
          <cell r="D34" t="str">
            <v>C S</v>
          </cell>
          <cell r="E34" t="str">
            <v>L75x75x9</v>
          </cell>
          <cell r="F34">
            <v>252</v>
          </cell>
          <cell r="G34" t="str">
            <v>16100-100</v>
          </cell>
          <cell r="H34">
            <v>3</v>
          </cell>
          <cell r="K34">
            <v>2.5099999999999998</v>
          </cell>
          <cell r="L34">
            <v>7.53</v>
          </cell>
          <cell r="M34">
            <v>988</v>
          </cell>
          <cell r="N34">
            <v>2964</v>
          </cell>
          <cell r="O34" t="str">
            <v>물정 '98.11 p.45</v>
          </cell>
        </row>
        <row r="36">
          <cell r="B36" t="str">
            <v>03980-024</v>
          </cell>
          <cell r="C36" t="str">
            <v>U-BOLT</v>
          </cell>
          <cell r="D36" t="str">
            <v>C S</v>
          </cell>
          <cell r="E36" t="str">
            <v>DN150</v>
          </cell>
          <cell r="G36" t="str">
            <v>16200-150</v>
          </cell>
          <cell r="H36">
            <v>13</v>
          </cell>
          <cell r="K36">
            <v>0.75800000000000001</v>
          </cell>
          <cell r="L36">
            <v>9.8539999999999992</v>
          </cell>
          <cell r="M36">
            <v>2200</v>
          </cell>
          <cell r="N36">
            <v>28600</v>
          </cell>
          <cell r="O36" t="str">
            <v>물정 '98.11.p78</v>
          </cell>
        </row>
        <row r="37">
          <cell r="B37" t="str">
            <v>03980-024</v>
          </cell>
          <cell r="C37" t="str">
            <v>H-BEAM</v>
          </cell>
          <cell r="D37" t="str">
            <v>C S</v>
          </cell>
          <cell r="E37" t="str">
            <v>H100x100x6x8</v>
          </cell>
          <cell r="F37">
            <v>1385</v>
          </cell>
          <cell r="G37" t="str">
            <v>16200-150</v>
          </cell>
          <cell r="H37">
            <v>27</v>
          </cell>
          <cell r="K37">
            <v>23.821999999999999</v>
          </cell>
          <cell r="L37">
            <v>643.19399999999996</v>
          </cell>
          <cell r="M37">
            <v>11553</v>
          </cell>
          <cell r="N37">
            <v>311931</v>
          </cell>
          <cell r="O37" t="str">
            <v>물정 '98.11 p.47</v>
          </cell>
        </row>
        <row r="38">
          <cell r="B38" t="str">
            <v>03980-024</v>
          </cell>
          <cell r="C38" t="str">
            <v>CLIP ANGLE</v>
          </cell>
          <cell r="D38" t="str">
            <v>C S</v>
          </cell>
          <cell r="E38" t="str">
            <v>L75x75x9</v>
          </cell>
          <cell r="F38">
            <v>50</v>
          </cell>
          <cell r="G38" t="str">
            <v>16200-150</v>
          </cell>
          <cell r="H38">
            <v>54</v>
          </cell>
          <cell r="K38">
            <v>0.498</v>
          </cell>
          <cell r="L38">
            <v>26.891999999999999</v>
          </cell>
          <cell r="M38">
            <v>196</v>
          </cell>
          <cell r="N38">
            <v>10584</v>
          </cell>
          <cell r="O38" t="str">
            <v>물정 '98.11 p.45</v>
          </cell>
        </row>
        <row r="39">
          <cell r="B39" t="str">
            <v>03980-046</v>
          </cell>
          <cell r="C39" t="str">
            <v>ANGLE</v>
          </cell>
          <cell r="D39" t="str">
            <v>C S</v>
          </cell>
          <cell r="E39" t="str">
            <v>L100x100x10</v>
          </cell>
          <cell r="F39">
            <v>700</v>
          </cell>
          <cell r="G39" t="str">
            <v>16200-150</v>
          </cell>
          <cell r="H39">
            <v>5</v>
          </cell>
          <cell r="K39">
            <v>10.43</v>
          </cell>
          <cell r="L39">
            <v>52.15</v>
          </cell>
          <cell r="M39">
            <v>4391</v>
          </cell>
          <cell r="N39">
            <v>21955</v>
          </cell>
          <cell r="O39" t="str">
            <v>물정 '98.11 p.45</v>
          </cell>
        </row>
        <row r="40">
          <cell r="B40" t="str">
            <v>03980-026</v>
          </cell>
          <cell r="C40" t="str">
            <v>U-BOLT</v>
          </cell>
          <cell r="D40" t="str">
            <v>C S</v>
          </cell>
          <cell r="E40" t="str">
            <v>DN100</v>
          </cell>
          <cell r="G40" t="str">
            <v>16200-100</v>
          </cell>
          <cell r="H40">
            <v>16</v>
          </cell>
          <cell r="K40">
            <v>0.54900000000000004</v>
          </cell>
          <cell r="L40">
            <v>8.7840000000000007</v>
          </cell>
          <cell r="M40">
            <v>900</v>
          </cell>
          <cell r="N40">
            <v>14400</v>
          </cell>
          <cell r="O40" t="str">
            <v>물정 '98.11.p78</v>
          </cell>
        </row>
        <row r="41">
          <cell r="B41" t="str">
            <v>03980-026</v>
          </cell>
          <cell r="C41" t="str">
            <v>H-BEAM</v>
          </cell>
          <cell r="D41" t="str">
            <v>C S</v>
          </cell>
          <cell r="E41" t="str">
            <v>H100x100x6x8</v>
          </cell>
          <cell r="F41">
            <v>1385</v>
          </cell>
          <cell r="G41" t="str">
            <v>16200-100</v>
          </cell>
          <cell r="H41">
            <v>3</v>
          </cell>
          <cell r="K41">
            <v>23.821999999999999</v>
          </cell>
          <cell r="L41">
            <v>71.465999999999994</v>
          </cell>
          <cell r="M41">
            <v>11553</v>
          </cell>
          <cell r="N41">
            <v>34659</v>
          </cell>
          <cell r="O41" t="str">
            <v>물정 '98.11 p.47</v>
          </cell>
        </row>
        <row r="42">
          <cell r="B42" t="str">
            <v>03980-026</v>
          </cell>
          <cell r="C42" t="str">
            <v>CLIP ANGLE</v>
          </cell>
          <cell r="D42" t="str">
            <v>C S</v>
          </cell>
          <cell r="E42" t="str">
            <v>L75x75x9</v>
          </cell>
          <cell r="F42">
            <v>50</v>
          </cell>
          <cell r="G42" t="str">
            <v>16200-100</v>
          </cell>
          <cell r="H42">
            <v>6</v>
          </cell>
          <cell r="K42">
            <v>0.498</v>
          </cell>
          <cell r="L42">
            <v>2.988</v>
          </cell>
          <cell r="M42">
            <v>196</v>
          </cell>
          <cell r="N42">
            <v>1176</v>
          </cell>
          <cell r="O42" t="str">
            <v>물정 '98.11 p.45</v>
          </cell>
        </row>
        <row r="43">
          <cell r="B43" t="str">
            <v>03980-031</v>
          </cell>
          <cell r="C43" t="str">
            <v>H-BEAM</v>
          </cell>
          <cell r="D43" t="str">
            <v>C S</v>
          </cell>
          <cell r="E43" t="str">
            <v>H100x100x6x8</v>
          </cell>
          <cell r="F43">
            <v>700</v>
          </cell>
          <cell r="G43" t="str">
            <v>16200-100</v>
          </cell>
          <cell r="H43">
            <v>1</v>
          </cell>
          <cell r="K43">
            <v>12.04</v>
          </cell>
          <cell r="L43">
            <v>12.04</v>
          </cell>
          <cell r="M43">
            <v>5839</v>
          </cell>
          <cell r="N43">
            <v>5839</v>
          </cell>
          <cell r="O43" t="str">
            <v>물정 '98.11 p.47</v>
          </cell>
        </row>
        <row r="44">
          <cell r="B44" t="str">
            <v>03980-051</v>
          </cell>
          <cell r="C44" t="str">
            <v>ANGLE</v>
          </cell>
          <cell r="D44" t="str">
            <v>C S</v>
          </cell>
          <cell r="E44" t="str">
            <v>L75x75x9</v>
          </cell>
          <cell r="F44">
            <v>160</v>
          </cell>
          <cell r="G44" t="str">
            <v>16200-100</v>
          </cell>
          <cell r="H44">
            <v>3</v>
          </cell>
          <cell r="K44">
            <v>1.5940000000000001</v>
          </cell>
          <cell r="L44">
            <v>4.782</v>
          </cell>
          <cell r="M44">
            <v>628</v>
          </cell>
          <cell r="N44">
            <v>1884</v>
          </cell>
          <cell r="O44" t="str">
            <v>물정 '98.11 p.45</v>
          </cell>
        </row>
        <row r="45">
          <cell r="B45" t="str">
            <v>03980-052</v>
          </cell>
          <cell r="C45" t="str">
            <v>ANGLE</v>
          </cell>
          <cell r="D45" t="str">
            <v>C S</v>
          </cell>
          <cell r="E45" t="str">
            <v>L75x75x9</v>
          </cell>
          <cell r="F45">
            <v>460</v>
          </cell>
          <cell r="G45" t="str">
            <v>16200-100</v>
          </cell>
          <cell r="H45">
            <v>2</v>
          </cell>
          <cell r="K45">
            <v>4.5819999999999999</v>
          </cell>
          <cell r="L45">
            <v>9.1639999999999997</v>
          </cell>
          <cell r="M45">
            <v>1805</v>
          </cell>
          <cell r="N45">
            <v>3610</v>
          </cell>
          <cell r="O45" t="str">
            <v>물정 '98.11 p.45</v>
          </cell>
        </row>
        <row r="46">
          <cell r="B46" t="str">
            <v>03980-053</v>
          </cell>
          <cell r="C46" t="str">
            <v>STUD BOLT</v>
          </cell>
          <cell r="D46" t="str">
            <v>C S</v>
          </cell>
          <cell r="E46" t="str">
            <v>M15x60L</v>
          </cell>
          <cell r="G46" t="str">
            <v>16200-100</v>
          </cell>
          <cell r="H46">
            <v>16</v>
          </cell>
          <cell r="K46">
            <v>0.2</v>
          </cell>
          <cell r="L46">
            <v>3.2</v>
          </cell>
          <cell r="M46">
            <v>137</v>
          </cell>
          <cell r="N46">
            <v>2192</v>
          </cell>
          <cell r="O46" t="str">
            <v>물정 '98.11 p.74</v>
          </cell>
        </row>
        <row r="47">
          <cell r="B47" t="str">
            <v>03980-053</v>
          </cell>
          <cell r="C47" t="str">
            <v>PLATE</v>
          </cell>
          <cell r="D47" t="str">
            <v>C S</v>
          </cell>
          <cell r="E47" t="str">
            <v>PL200x200x12t</v>
          </cell>
          <cell r="G47" t="str">
            <v>16200-100</v>
          </cell>
          <cell r="H47">
            <v>4</v>
          </cell>
          <cell r="K47">
            <v>3.7679999999999998</v>
          </cell>
          <cell r="L47">
            <v>15.071999999999999</v>
          </cell>
          <cell r="M47">
            <v>1526</v>
          </cell>
          <cell r="N47">
            <v>6104</v>
          </cell>
          <cell r="O47" t="str">
            <v>물정 '98.11 p.50</v>
          </cell>
        </row>
        <row r="48">
          <cell r="B48" t="str">
            <v>03980-053</v>
          </cell>
          <cell r="C48" t="str">
            <v>PLATE</v>
          </cell>
          <cell r="D48" t="str">
            <v>C S</v>
          </cell>
          <cell r="E48" t="str">
            <v>PL200x150x12t</v>
          </cell>
          <cell r="G48" t="str">
            <v>16200-100</v>
          </cell>
          <cell r="H48">
            <v>4</v>
          </cell>
          <cell r="K48">
            <v>2.8260000000000001</v>
          </cell>
          <cell r="L48">
            <v>11.304</v>
          </cell>
          <cell r="M48">
            <v>1144</v>
          </cell>
          <cell r="N48">
            <v>4576</v>
          </cell>
          <cell r="O48" t="str">
            <v>물정 '98.11 p.50</v>
          </cell>
        </row>
        <row r="49">
          <cell r="B49" t="str">
            <v>03980-053</v>
          </cell>
          <cell r="C49" t="str">
            <v>LUG PLATE</v>
          </cell>
          <cell r="D49" t="str">
            <v>S S</v>
          </cell>
          <cell r="E49" t="str">
            <v>PL100x50x12t</v>
          </cell>
          <cell r="G49" t="str">
            <v>16200-100</v>
          </cell>
          <cell r="H49">
            <v>4</v>
          </cell>
          <cell r="K49">
            <v>0.47099999999999997</v>
          </cell>
          <cell r="L49">
            <v>1.8839999999999999</v>
          </cell>
          <cell r="M49">
            <v>190</v>
          </cell>
          <cell r="N49">
            <v>760</v>
          </cell>
          <cell r="O49" t="str">
            <v>물정 '98.11 p.50</v>
          </cell>
        </row>
        <row r="50">
          <cell r="B50" t="str">
            <v>03980-053</v>
          </cell>
          <cell r="C50" t="str">
            <v>ANGLE</v>
          </cell>
          <cell r="D50" t="str">
            <v>C S</v>
          </cell>
          <cell r="E50" t="str">
            <v>L75x75x9</v>
          </cell>
          <cell r="F50">
            <v>248</v>
          </cell>
          <cell r="G50" t="str">
            <v>16200-100</v>
          </cell>
          <cell r="H50">
            <v>4</v>
          </cell>
          <cell r="K50">
            <v>2.4710000000000001</v>
          </cell>
          <cell r="L50">
            <v>9.8840000000000003</v>
          </cell>
          <cell r="M50">
            <v>973</v>
          </cell>
          <cell r="N50">
            <v>3892</v>
          </cell>
          <cell r="O50" t="str">
            <v>물정 '98.11 p.45</v>
          </cell>
        </row>
        <row r="51">
          <cell r="B51" t="str">
            <v>03980-024</v>
          </cell>
          <cell r="C51" t="str">
            <v>U-BOLT</v>
          </cell>
          <cell r="D51" t="str">
            <v>C S</v>
          </cell>
          <cell r="E51" t="str">
            <v>DN 80</v>
          </cell>
          <cell r="G51" t="str">
            <v>16200- 80</v>
          </cell>
          <cell r="H51">
            <v>10</v>
          </cell>
          <cell r="K51">
            <v>0.25900000000000001</v>
          </cell>
          <cell r="L51">
            <v>2.59</v>
          </cell>
          <cell r="M51">
            <v>770</v>
          </cell>
          <cell r="N51">
            <v>7700</v>
          </cell>
          <cell r="O51" t="str">
            <v>물정 '98.11.p78</v>
          </cell>
        </row>
        <row r="52">
          <cell r="B52" t="str">
            <v>03980-033</v>
          </cell>
          <cell r="C52" t="str">
            <v>WEL'D BEAM ATTACH.</v>
          </cell>
          <cell r="D52" t="str">
            <v>C S</v>
          </cell>
          <cell r="E52" t="str">
            <v>M12</v>
          </cell>
          <cell r="G52" t="str">
            <v>16200- 80</v>
          </cell>
          <cell r="H52">
            <v>1</v>
          </cell>
          <cell r="K52">
            <v>0.59</v>
          </cell>
          <cell r="L52">
            <v>0.59</v>
          </cell>
          <cell r="M52">
            <v>4800</v>
          </cell>
          <cell r="N52">
            <v>4800</v>
          </cell>
          <cell r="O52" t="str">
            <v>견적가</v>
          </cell>
        </row>
        <row r="53">
          <cell r="B53" t="str">
            <v>03980-033</v>
          </cell>
          <cell r="C53" t="str">
            <v>THR'D ROD</v>
          </cell>
          <cell r="D53" t="str">
            <v>C S</v>
          </cell>
          <cell r="E53" t="str">
            <v>M12</v>
          </cell>
          <cell r="F53">
            <v>360</v>
          </cell>
          <cell r="G53" t="str">
            <v>16200- 80</v>
          </cell>
          <cell r="H53">
            <v>1</v>
          </cell>
          <cell r="K53">
            <v>0.28499999999999998</v>
          </cell>
          <cell r="L53">
            <v>0.28499999999999998</v>
          </cell>
          <cell r="M53">
            <v>3430</v>
          </cell>
          <cell r="N53">
            <v>3430</v>
          </cell>
          <cell r="O53" t="str">
            <v>견적가</v>
          </cell>
        </row>
        <row r="54">
          <cell r="B54" t="str">
            <v>03980-033</v>
          </cell>
          <cell r="C54" t="str">
            <v>PLATE</v>
          </cell>
          <cell r="D54" t="str">
            <v>C S</v>
          </cell>
          <cell r="E54" t="str">
            <v>PL200x200x12t</v>
          </cell>
          <cell r="G54" t="str">
            <v>16200- 80</v>
          </cell>
          <cell r="H54">
            <v>1</v>
          </cell>
          <cell r="K54">
            <v>3.7679999999999998</v>
          </cell>
          <cell r="L54">
            <v>3.7679999999999998</v>
          </cell>
          <cell r="M54">
            <v>1526</v>
          </cell>
          <cell r="N54">
            <v>1526</v>
          </cell>
          <cell r="O54" t="str">
            <v>물정 '98.11 p.50</v>
          </cell>
        </row>
        <row r="55">
          <cell r="B55" t="str">
            <v>03980-033</v>
          </cell>
          <cell r="C55" t="str">
            <v>EYE NUT</v>
          </cell>
          <cell r="D55" t="str">
            <v>C S</v>
          </cell>
          <cell r="E55" t="str">
            <v>M12</v>
          </cell>
          <cell r="G55" t="str">
            <v>16200- 80</v>
          </cell>
          <cell r="H55">
            <v>2</v>
          </cell>
          <cell r="K55">
            <v>0.28999999999999998</v>
          </cell>
          <cell r="L55">
            <v>0.57999999999999996</v>
          </cell>
          <cell r="M55">
            <v>1600</v>
          </cell>
          <cell r="N55">
            <v>3200</v>
          </cell>
          <cell r="O55" t="str">
            <v>견적가</v>
          </cell>
        </row>
        <row r="56">
          <cell r="B56" t="str">
            <v>03980-033</v>
          </cell>
          <cell r="C56" t="str">
            <v>CHANNEL</v>
          </cell>
          <cell r="D56" t="str">
            <v>C S</v>
          </cell>
          <cell r="E56" t="str">
            <v>C100x50x5x7.5</v>
          </cell>
          <cell r="F56">
            <v>500</v>
          </cell>
          <cell r="G56" t="str">
            <v>16200- 80</v>
          </cell>
          <cell r="H56">
            <v>1</v>
          </cell>
          <cell r="K56">
            <v>4.68</v>
          </cell>
          <cell r="L56">
            <v>4.68</v>
          </cell>
          <cell r="M56">
            <v>1965</v>
          </cell>
          <cell r="N56">
            <v>1965</v>
          </cell>
          <cell r="O56" t="str">
            <v>물정 '98.11 p.46</v>
          </cell>
        </row>
        <row r="57">
          <cell r="B57" t="str">
            <v>03980-033</v>
          </cell>
          <cell r="C57" t="str">
            <v>ANCHOR BOLT</v>
          </cell>
          <cell r="D57" t="str">
            <v>C S</v>
          </cell>
          <cell r="E57" t="str">
            <v>M12x155L</v>
          </cell>
          <cell r="G57" t="str">
            <v>16200- 80</v>
          </cell>
          <cell r="H57">
            <v>4</v>
          </cell>
          <cell r="K57">
            <v>0.124</v>
          </cell>
          <cell r="L57">
            <v>0.496</v>
          </cell>
          <cell r="M57">
            <v>1480</v>
          </cell>
          <cell r="N57">
            <v>5920</v>
          </cell>
          <cell r="O57" t="str">
            <v>견적가</v>
          </cell>
        </row>
        <row r="58">
          <cell r="B58" t="str">
            <v>03980-033</v>
          </cell>
          <cell r="C58" t="str">
            <v>3-BOLT PIPE CLAMP</v>
          </cell>
          <cell r="D58" t="str">
            <v>C S</v>
          </cell>
          <cell r="E58" t="str">
            <v>DN 80</v>
          </cell>
          <cell r="G58" t="str">
            <v>16200- 80</v>
          </cell>
          <cell r="H58">
            <v>1</v>
          </cell>
          <cell r="K58">
            <v>1.36</v>
          </cell>
          <cell r="L58">
            <v>1.36</v>
          </cell>
          <cell r="M58">
            <v>10000</v>
          </cell>
          <cell r="N58">
            <v>10000</v>
          </cell>
          <cell r="O58" t="str">
            <v>견적가</v>
          </cell>
        </row>
        <row r="60">
          <cell r="B60" t="str">
            <v>03980-026</v>
          </cell>
          <cell r="C60" t="str">
            <v>U-BOLT</v>
          </cell>
          <cell r="D60" t="str">
            <v>C S</v>
          </cell>
          <cell r="E60" t="str">
            <v>DN100</v>
          </cell>
          <cell r="G60" t="str">
            <v>16320-100</v>
          </cell>
          <cell r="H60">
            <v>3</v>
          </cell>
          <cell r="K60">
            <v>0.54900000000000004</v>
          </cell>
          <cell r="L60">
            <v>1.647</v>
          </cell>
          <cell r="M60">
            <v>510</v>
          </cell>
          <cell r="N60">
            <v>1530</v>
          </cell>
          <cell r="O60" t="str">
            <v>물정 '98.11.p78</v>
          </cell>
        </row>
        <row r="61">
          <cell r="B61" t="str">
            <v>03980-032</v>
          </cell>
          <cell r="C61" t="str">
            <v>PLATE</v>
          </cell>
          <cell r="D61" t="str">
            <v>C S</v>
          </cell>
          <cell r="E61" t="str">
            <v>PL200x200x12t</v>
          </cell>
          <cell r="G61" t="str">
            <v>16320-100</v>
          </cell>
          <cell r="H61">
            <v>2</v>
          </cell>
          <cell r="K61">
            <v>3.7679999999999998</v>
          </cell>
          <cell r="L61">
            <v>7.5359999999999996</v>
          </cell>
          <cell r="M61">
            <v>1526</v>
          </cell>
          <cell r="N61">
            <v>3052</v>
          </cell>
          <cell r="O61" t="str">
            <v>물정 '98.11 p.50</v>
          </cell>
        </row>
        <row r="62">
          <cell r="B62" t="str">
            <v>03980-025</v>
          </cell>
          <cell r="C62" t="str">
            <v>H-BEAM</v>
          </cell>
          <cell r="D62" t="str">
            <v>C S</v>
          </cell>
          <cell r="E62" t="str">
            <v>H100x100x6x8</v>
          </cell>
          <cell r="F62">
            <v>1385</v>
          </cell>
          <cell r="G62" t="str">
            <v>16320-100</v>
          </cell>
          <cell r="H62">
            <v>1</v>
          </cell>
          <cell r="K62">
            <v>23.821999999999999</v>
          </cell>
          <cell r="L62">
            <v>23.821999999999999</v>
          </cell>
          <cell r="M62">
            <v>11553</v>
          </cell>
          <cell r="N62">
            <v>11553</v>
          </cell>
          <cell r="O62" t="str">
            <v>물정 '98.11 p.47</v>
          </cell>
        </row>
        <row r="63">
          <cell r="B63" t="str">
            <v>03980-025</v>
          </cell>
          <cell r="C63" t="str">
            <v>CLIP ANGLE</v>
          </cell>
          <cell r="D63" t="str">
            <v>C S</v>
          </cell>
          <cell r="E63" t="str">
            <v>L75x75x9</v>
          </cell>
          <cell r="F63">
            <v>50</v>
          </cell>
          <cell r="G63" t="str">
            <v>16320-100</v>
          </cell>
          <cell r="H63">
            <v>2</v>
          </cell>
          <cell r="K63">
            <v>0.498</v>
          </cell>
          <cell r="L63">
            <v>0.996</v>
          </cell>
          <cell r="M63">
            <v>196</v>
          </cell>
          <cell r="N63">
            <v>392</v>
          </cell>
          <cell r="O63" t="str">
            <v>물정 '98.11 p.45</v>
          </cell>
        </row>
        <row r="64">
          <cell r="B64" t="str">
            <v>03980-032</v>
          </cell>
          <cell r="C64" t="str">
            <v>ANGLE</v>
          </cell>
          <cell r="D64" t="str">
            <v>C S</v>
          </cell>
          <cell r="E64" t="str">
            <v>L75x75x9</v>
          </cell>
          <cell r="F64">
            <v>527</v>
          </cell>
          <cell r="G64" t="str">
            <v>16320-100</v>
          </cell>
          <cell r="H64">
            <v>1</v>
          </cell>
          <cell r="K64">
            <v>5.2489999999999997</v>
          </cell>
          <cell r="L64">
            <v>5.2489999999999997</v>
          </cell>
          <cell r="M64">
            <v>2068</v>
          </cell>
          <cell r="N64">
            <v>2068</v>
          </cell>
          <cell r="O64" t="str">
            <v>물정 '98.11 p.45</v>
          </cell>
        </row>
        <row r="65">
          <cell r="B65" t="str">
            <v>03980-034</v>
          </cell>
          <cell r="C65" t="str">
            <v>ANGLE</v>
          </cell>
          <cell r="D65" t="str">
            <v>C S</v>
          </cell>
          <cell r="E65" t="str">
            <v>L75x75x9</v>
          </cell>
          <cell r="F65">
            <v>514</v>
          </cell>
          <cell r="G65" t="str">
            <v>16320-100</v>
          </cell>
          <cell r="H65">
            <v>1</v>
          </cell>
          <cell r="K65">
            <v>5.12</v>
          </cell>
          <cell r="L65">
            <v>5.12</v>
          </cell>
          <cell r="M65">
            <v>2017</v>
          </cell>
          <cell r="N65">
            <v>2017</v>
          </cell>
          <cell r="O65" t="str">
            <v>물정 '98.11 p.45</v>
          </cell>
        </row>
        <row r="66">
          <cell r="B66" t="str">
            <v>03980-032</v>
          </cell>
          <cell r="C66" t="str">
            <v>ANCHOR BOLT</v>
          </cell>
          <cell r="D66" t="str">
            <v>C S</v>
          </cell>
          <cell r="E66" t="str">
            <v>M12x155L</v>
          </cell>
          <cell r="G66" t="str">
            <v>16320-100</v>
          </cell>
          <cell r="H66">
            <v>8</v>
          </cell>
          <cell r="K66">
            <v>0.124</v>
          </cell>
          <cell r="L66">
            <v>0.99199999999999999</v>
          </cell>
          <cell r="M66">
            <v>1480</v>
          </cell>
          <cell r="N66">
            <v>11840</v>
          </cell>
          <cell r="O66" t="str">
            <v>견적가</v>
          </cell>
        </row>
        <row r="67">
          <cell r="B67" t="str">
            <v>03980-036</v>
          </cell>
          <cell r="C67" t="str">
            <v>WEL'D BEAM ATTACH.</v>
          </cell>
          <cell r="D67" t="str">
            <v>C S</v>
          </cell>
          <cell r="E67" t="str">
            <v>M12</v>
          </cell>
          <cell r="G67" t="str">
            <v>16320- 80</v>
          </cell>
          <cell r="H67">
            <v>1</v>
          </cell>
          <cell r="K67">
            <v>0.59</v>
          </cell>
          <cell r="L67">
            <v>0.59</v>
          </cell>
          <cell r="M67">
            <v>4800</v>
          </cell>
          <cell r="N67">
            <v>4800</v>
          </cell>
          <cell r="O67" t="str">
            <v>견적가</v>
          </cell>
        </row>
        <row r="68">
          <cell r="B68" t="str">
            <v>03980-037</v>
          </cell>
          <cell r="C68" t="str">
            <v>U-BOLT</v>
          </cell>
          <cell r="D68" t="str">
            <v>C S</v>
          </cell>
          <cell r="E68" t="str">
            <v>DN 80</v>
          </cell>
          <cell r="G68" t="str">
            <v>16320- 80</v>
          </cell>
          <cell r="H68">
            <v>11</v>
          </cell>
          <cell r="K68">
            <v>0.25900000000000001</v>
          </cell>
          <cell r="L68">
            <v>2.8490000000000002</v>
          </cell>
          <cell r="M68">
            <v>220</v>
          </cell>
          <cell r="N68">
            <v>2420</v>
          </cell>
          <cell r="O68" t="str">
            <v>물정 '98.11.p78</v>
          </cell>
        </row>
        <row r="69">
          <cell r="B69" t="str">
            <v>03980-036</v>
          </cell>
          <cell r="C69" t="str">
            <v>THR'D ROD</v>
          </cell>
          <cell r="D69" t="str">
            <v>C S</v>
          </cell>
          <cell r="E69" t="str">
            <v>M12</v>
          </cell>
          <cell r="F69">
            <v>1161</v>
          </cell>
          <cell r="G69" t="str">
            <v>16320- 80</v>
          </cell>
          <cell r="H69">
            <v>1</v>
          </cell>
          <cell r="K69">
            <v>0.91700000000000004</v>
          </cell>
          <cell r="L69">
            <v>0.91700000000000004</v>
          </cell>
          <cell r="M69">
            <v>3630</v>
          </cell>
          <cell r="N69">
            <v>3630</v>
          </cell>
          <cell r="O69" t="str">
            <v>견적가</v>
          </cell>
        </row>
        <row r="70">
          <cell r="B70" t="str">
            <v>03980-037</v>
          </cell>
          <cell r="C70" t="str">
            <v>PLATE</v>
          </cell>
          <cell r="D70" t="str">
            <v>C S</v>
          </cell>
          <cell r="E70" t="str">
            <v>PL200x200x12t</v>
          </cell>
          <cell r="G70" t="str">
            <v>16320- 80</v>
          </cell>
          <cell r="H70">
            <v>3</v>
          </cell>
          <cell r="K70">
            <v>3.7679999999999998</v>
          </cell>
          <cell r="L70">
            <v>11.304</v>
          </cell>
          <cell r="M70">
            <v>1526</v>
          </cell>
          <cell r="N70">
            <v>4578</v>
          </cell>
          <cell r="O70" t="str">
            <v>물정 '98.11 p.50</v>
          </cell>
        </row>
        <row r="71">
          <cell r="B71" t="str">
            <v>03980-037</v>
          </cell>
          <cell r="C71" t="str">
            <v>H-BEAM</v>
          </cell>
          <cell r="D71" t="str">
            <v>C S</v>
          </cell>
          <cell r="E71" t="str">
            <v>H100x100x6x8</v>
          </cell>
          <cell r="F71">
            <v>284</v>
          </cell>
          <cell r="G71" t="str">
            <v>16320- 80</v>
          </cell>
          <cell r="H71">
            <v>1</v>
          </cell>
          <cell r="K71">
            <v>4.8849999999999998</v>
          </cell>
          <cell r="L71">
            <v>4.8849999999999998</v>
          </cell>
          <cell r="M71">
            <v>2369</v>
          </cell>
          <cell r="N71">
            <v>2369</v>
          </cell>
          <cell r="O71" t="str">
            <v>물정 '98.11 p.47</v>
          </cell>
        </row>
        <row r="72">
          <cell r="B72" t="str">
            <v>03980-036</v>
          </cell>
          <cell r="C72" t="str">
            <v>EYE NUT</v>
          </cell>
          <cell r="D72" t="str">
            <v>C S</v>
          </cell>
          <cell r="E72" t="str">
            <v>M12</v>
          </cell>
          <cell r="G72" t="str">
            <v>16320- 80</v>
          </cell>
          <cell r="H72">
            <v>2</v>
          </cell>
          <cell r="K72">
            <v>0.28999999999999998</v>
          </cell>
          <cell r="L72">
            <v>0.57999999999999996</v>
          </cell>
          <cell r="M72">
            <v>1600</v>
          </cell>
          <cell r="N72">
            <v>3200</v>
          </cell>
          <cell r="O72" t="str">
            <v>견적가</v>
          </cell>
        </row>
        <row r="73">
          <cell r="B73" t="str">
            <v>03980-036</v>
          </cell>
          <cell r="C73" t="str">
            <v>CHANNEL</v>
          </cell>
          <cell r="D73" t="str">
            <v>C S</v>
          </cell>
          <cell r="E73" t="str">
            <v>C100x50x5x7.5</v>
          </cell>
          <cell r="F73">
            <v>450</v>
          </cell>
          <cell r="G73" t="str">
            <v>16320- 80</v>
          </cell>
          <cell r="H73">
            <v>1</v>
          </cell>
          <cell r="K73">
            <v>4.2119999999999997</v>
          </cell>
          <cell r="L73">
            <v>4.2119999999999997</v>
          </cell>
          <cell r="M73">
            <v>1769</v>
          </cell>
          <cell r="N73">
            <v>1769</v>
          </cell>
          <cell r="O73" t="str">
            <v>물정 '98.11 p.46</v>
          </cell>
        </row>
        <row r="74">
          <cell r="B74" t="str">
            <v>03980-037</v>
          </cell>
          <cell r="C74" t="str">
            <v>ANGLE</v>
          </cell>
          <cell r="D74" t="str">
            <v>C S</v>
          </cell>
          <cell r="E74" t="str">
            <v>L75x75x9</v>
          </cell>
          <cell r="F74">
            <v>225</v>
          </cell>
          <cell r="G74" t="str">
            <v>16320- 80</v>
          </cell>
          <cell r="H74">
            <v>1</v>
          </cell>
          <cell r="K74">
            <v>2.2410000000000001</v>
          </cell>
          <cell r="L74">
            <v>2.2410000000000001</v>
          </cell>
          <cell r="M74">
            <v>882</v>
          </cell>
          <cell r="N74">
            <v>882</v>
          </cell>
          <cell r="O74" t="str">
            <v>물정 '98.11 p.45</v>
          </cell>
        </row>
        <row r="75">
          <cell r="B75" t="str">
            <v>03980-038</v>
          </cell>
          <cell r="C75" t="str">
            <v>ANGLE</v>
          </cell>
          <cell r="D75" t="str">
            <v>C S</v>
          </cell>
          <cell r="E75" t="str">
            <v>L75x75x9</v>
          </cell>
          <cell r="F75">
            <v>284</v>
          </cell>
          <cell r="G75" t="str">
            <v>16320- 80</v>
          </cell>
          <cell r="H75">
            <v>2</v>
          </cell>
          <cell r="K75">
            <v>2.8290000000000002</v>
          </cell>
          <cell r="L75">
            <v>5.6580000000000004</v>
          </cell>
          <cell r="M75">
            <v>1114</v>
          </cell>
          <cell r="N75">
            <v>2228</v>
          </cell>
          <cell r="O75" t="str">
            <v>물정 '98.11 p.45</v>
          </cell>
        </row>
        <row r="76">
          <cell r="B76" t="str">
            <v>03980-060</v>
          </cell>
          <cell r="C76" t="str">
            <v>ANGLE</v>
          </cell>
          <cell r="D76" t="str">
            <v>C S</v>
          </cell>
          <cell r="E76" t="str">
            <v>L75x75x9</v>
          </cell>
          <cell r="F76">
            <v>430</v>
          </cell>
          <cell r="G76" t="str">
            <v>16320- 80</v>
          </cell>
          <cell r="H76">
            <v>1</v>
          </cell>
          <cell r="K76">
            <v>4.2830000000000004</v>
          </cell>
          <cell r="L76">
            <v>4.2830000000000004</v>
          </cell>
          <cell r="M76">
            <v>1687</v>
          </cell>
          <cell r="N76">
            <v>1687</v>
          </cell>
          <cell r="O76" t="str">
            <v>물정 '98.11 p.45</v>
          </cell>
        </row>
        <row r="77">
          <cell r="B77" t="str">
            <v>03980-037</v>
          </cell>
          <cell r="C77" t="str">
            <v>ANCHOR BOLT</v>
          </cell>
          <cell r="D77" t="str">
            <v>C S</v>
          </cell>
          <cell r="E77" t="str">
            <v>M12x155L</v>
          </cell>
          <cell r="G77" t="str">
            <v>16320- 80</v>
          </cell>
          <cell r="H77">
            <v>8</v>
          </cell>
          <cell r="K77">
            <v>0.124</v>
          </cell>
          <cell r="L77">
            <v>0.99199999999999999</v>
          </cell>
          <cell r="M77">
            <v>1480</v>
          </cell>
          <cell r="N77">
            <v>11840</v>
          </cell>
          <cell r="O77" t="str">
            <v>견적가</v>
          </cell>
        </row>
        <row r="78">
          <cell r="B78" t="str">
            <v>03980-036</v>
          </cell>
          <cell r="C78" t="str">
            <v>3-BOLT PIPE CLAMP</v>
          </cell>
          <cell r="D78" t="str">
            <v>C S</v>
          </cell>
          <cell r="E78" t="str">
            <v>DN 80</v>
          </cell>
          <cell r="G78" t="str">
            <v>16320- 80</v>
          </cell>
          <cell r="H78">
            <v>1</v>
          </cell>
          <cell r="K78">
            <v>1.36</v>
          </cell>
          <cell r="L78">
            <v>1.36</v>
          </cell>
          <cell r="M78">
            <v>10000</v>
          </cell>
          <cell r="N78">
            <v>10000</v>
          </cell>
          <cell r="O78" t="str">
            <v>견적가</v>
          </cell>
        </row>
        <row r="80">
          <cell r="B80" t="str">
            <v>03980-072</v>
          </cell>
          <cell r="C80" t="str">
            <v>PLATE</v>
          </cell>
          <cell r="D80" t="str">
            <v>C S</v>
          </cell>
          <cell r="E80" t="str">
            <v>PL300x300x15t</v>
          </cell>
          <cell r="G80" t="str">
            <v>22100-200</v>
          </cell>
          <cell r="H80">
            <v>2</v>
          </cell>
          <cell r="K80">
            <v>10.602</v>
          </cell>
          <cell r="L80">
            <v>21.204000000000001</v>
          </cell>
          <cell r="M80">
            <v>4293</v>
          </cell>
          <cell r="N80">
            <v>8586</v>
          </cell>
          <cell r="O80" t="str">
            <v>물정 '98.11 p.50</v>
          </cell>
        </row>
        <row r="81">
          <cell r="B81" t="str">
            <v>03980-072</v>
          </cell>
          <cell r="C81" t="str">
            <v>PLATE</v>
          </cell>
          <cell r="D81" t="str">
            <v>C S</v>
          </cell>
          <cell r="E81" t="str">
            <v>PL107x70x9t</v>
          </cell>
          <cell r="G81" t="str">
            <v>22100-200</v>
          </cell>
          <cell r="H81">
            <v>8</v>
          </cell>
          <cell r="K81">
            <v>0.52900000000000003</v>
          </cell>
          <cell r="L81">
            <v>4.2320000000000002</v>
          </cell>
          <cell r="M81">
            <v>219</v>
          </cell>
          <cell r="N81">
            <v>1752</v>
          </cell>
          <cell r="O81" t="str">
            <v>물정 '98.11 p.50</v>
          </cell>
        </row>
        <row r="82">
          <cell r="B82" t="str">
            <v>03980-077</v>
          </cell>
          <cell r="C82" t="str">
            <v>H-BEAM</v>
          </cell>
          <cell r="D82" t="str">
            <v>C S</v>
          </cell>
          <cell r="E82" t="str">
            <v>H150x150x7x9</v>
          </cell>
          <cell r="F82">
            <v>3300</v>
          </cell>
          <cell r="G82" t="str">
            <v>22100-200</v>
          </cell>
          <cell r="H82">
            <v>1</v>
          </cell>
          <cell r="K82">
            <v>103.95</v>
          </cell>
          <cell r="L82">
            <v>103.95</v>
          </cell>
          <cell r="M82">
            <v>50415</v>
          </cell>
          <cell r="N82">
            <v>50415</v>
          </cell>
          <cell r="O82" t="str">
            <v>물정 '98.11 p.47</v>
          </cell>
        </row>
        <row r="83">
          <cell r="B83" t="str">
            <v>03980-077</v>
          </cell>
          <cell r="C83" t="str">
            <v>H-BEAM</v>
          </cell>
          <cell r="D83" t="str">
            <v>C S</v>
          </cell>
          <cell r="E83" t="str">
            <v>H150x150x7x9</v>
          </cell>
          <cell r="F83">
            <v>535</v>
          </cell>
          <cell r="G83" t="str">
            <v>22100-200</v>
          </cell>
          <cell r="H83">
            <v>2</v>
          </cell>
          <cell r="K83">
            <v>16.853000000000002</v>
          </cell>
          <cell r="L83">
            <v>33.706000000000003</v>
          </cell>
          <cell r="M83">
            <v>8173</v>
          </cell>
          <cell r="N83">
            <v>16346</v>
          </cell>
          <cell r="O83" t="str">
            <v>물정 '98.11 p.47</v>
          </cell>
        </row>
        <row r="84">
          <cell r="B84" t="str">
            <v>03980-072</v>
          </cell>
          <cell r="C84" t="str">
            <v>H-BEAM</v>
          </cell>
          <cell r="D84" t="str">
            <v>C S</v>
          </cell>
          <cell r="E84" t="str">
            <v>H100x100x6x8</v>
          </cell>
          <cell r="F84">
            <v>200</v>
          </cell>
          <cell r="G84" t="str">
            <v>22100-200</v>
          </cell>
          <cell r="H84">
            <v>2</v>
          </cell>
          <cell r="K84">
            <v>3.44</v>
          </cell>
          <cell r="L84">
            <v>6.88</v>
          </cell>
          <cell r="M84">
            <v>1668</v>
          </cell>
          <cell r="N84">
            <v>3336</v>
          </cell>
          <cell r="O84" t="str">
            <v>물정 '98.11 p.47</v>
          </cell>
        </row>
        <row r="85">
          <cell r="B85" t="str">
            <v>03980-072</v>
          </cell>
          <cell r="C85" t="str">
            <v>CT</v>
          </cell>
          <cell r="D85" t="str">
            <v>C S</v>
          </cell>
          <cell r="E85" t="str">
            <v>CT100x150x6x9</v>
          </cell>
          <cell r="F85">
            <v>200</v>
          </cell>
          <cell r="G85" t="str">
            <v>22100-200</v>
          </cell>
          <cell r="H85">
            <v>2</v>
          </cell>
          <cell r="K85">
            <v>3.06</v>
          </cell>
          <cell r="L85">
            <v>6.12</v>
          </cell>
          <cell r="M85">
            <v>1569</v>
          </cell>
          <cell r="N85">
            <v>3138</v>
          </cell>
          <cell r="O85" t="str">
            <v>물정 '98.11 p.48</v>
          </cell>
        </row>
        <row r="86">
          <cell r="B86" t="str">
            <v>03980-072</v>
          </cell>
          <cell r="C86" t="str">
            <v>ANCHOR BOLT</v>
          </cell>
          <cell r="D86" t="str">
            <v>C S</v>
          </cell>
          <cell r="E86" t="str">
            <v>M16x177L</v>
          </cell>
          <cell r="G86" t="str">
            <v>22100-200</v>
          </cell>
          <cell r="H86">
            <v>12</v>
          </cell>
          <cell r="K86">
            <v>0.34699999999999998</v>
          </cell>
          <cell r="L86">
            <v>4.1639999999999997</v>
          </cell>
          <cell r="M86">
            <v>1660</v>
          </cell>
          <cell r="N86">
            <v>19920</v>
          </cell>
          <cell r="O86" t="str">
            <v>견적가</v>
          </cell>
        </row>
        <row r="87">
          <cell r="B87" t="str">
            <v>03980-073</v>
          </cell>
          <cell r="C87" t="str">
            <v>PLATE</v>
          </cell>
          <cell r="D87" t="str">
            <v>C S</v>
          </cell>
          <cell r="E87" t="str">
            <v>PL300x300x15t</v>
          </cell>
          <cell r="G87" t="str">
            <v>22100-300</v>
          </cell>
          <cell r="H87">
            <v>4</v>
          </cell>
          <cell r="K87">
            <v>10.602</v>
          </cell>
          <cell r="L87">
            <v>42.408000000000001</v>
          </cell>
          <cell r="M87">
            <v>4293</v>
          </cell>
          <cell r="N87">
            <v>17172</v>
          </cell>
          <cell r="O87" t="str">
            <v>물정 '98.11 p.50</v>
          </cell>
        </row>
        <row r="88">
          <cell r="B88" t="str">
            <v>03980-077</v>
          </cell>
          <cell r="C88" t="str">
            <v>PLATE</v>
          </cell>
          <cell r="D88" t="str">
            <v>C S</v>
          </cell>
          <cell r="E88" t="str">
            <v>PL300x250x15t</v>
          </cell>
          <cell r="G88" t="str">
            <v>22100-300</v>
          </cell>
          <cell r="H88">
            <v>2</v>
          </cell>
          <cell r="K88">
            <v>8.8350000000000009</v>
          </cell>
          <cell r="L88">
            <v>17.670000000000002</v>
          </cell>
          <cell r="M88">
            <v>3578</v>
          </cell>
          <cell r="N88">
            <v>7156</v>
          </cell>
          <cell r="O88" t="str">
            <v>물정 '98.11 p.50</v>
          </cell>
        </row>
        <row r="89">
          <cell r="B89" t="str">
            <v>03980-102</v>
          </cell>
          <cell r="C89" t="str">
            <v>PLATE</v>
          </cell>
          <cell r="D89" t="str">
            <v>C S</v>
          </cell>
          <cell r="E89" t="str">
            <v>PL300x240x9t</v>
          </cell>
          <cell r="G89" t="str">
            <v>22100-300</v>
          </cell>
          <cell r="H89">
            <v>12</v>
          </cell>
          <cell r="K89">
            <v>5.0869999999999997</v>
          </cell>
          <cell r="L89">
            <v>61.043999999999997</v>
          </cell>
          <cell r="M89">
            <v>2111</v>
          </cell>
          <cell r="N89">
            <v>25332</v>
          </cell>
          <cell r="O89" t="str">
            <v>물정 '98.11 p.50</v>
          </cell>
        </row>
        <row r="90">
          <cell r="B90" t="str">
            <v>03980-084</v>
          </cell>
          <cell r="C90" t="str">
            <v>PLATE</v>
          </cell>
          <cell r="D90" t="str">
            <v>C S</v>
          </cell>
          <cell r="E90" t="str">
            <v>PL270x270x12t</v>
          </cell>
          <cell r="G90" t="str">
            <v>22100-300</v>
          </cell>
          <cell r="H90">
            <v>6</v>
          </cell>
          <cell r="K90">
            <v>6.867</v>
          </cell>
          <cell r="L90">
            <v>41.201999999999998</v>
          </cell>
          <cell r="M90">
            <v>2781</v>
          </cell>
          <cell r="N90">
            <v>16686</v>
          </cell>
          <cell r="O90" t="str">
            <v>물정 '98.11 p.50</v>
          </cell>
        </row>
        <row r="91">
          <cell r="B91" t="str">
            <v>03980-103</v>
          </cell>
          <cell r="C91" t="str">
            <v>PLATE</v>
          </cell>
          <cell r="D91" t="str">
            <v>C S</v>
          </cell>
          <cell r="E91" t="str">
            <v>PL250x98x15t</v>
          </cell>
          <cell r="G91" t="str">
            <v>22100-300</v>
          </cell>
          <cell r="H91">
            <v>20</v>
          </cell>
          <cell r="K91">
            <v>2.8860000000000001</v>
          </cell>
          <cell r="L91">
            <v>57.72</v>
          </cell>
          <cell r="M91">
            <v>1168</v>
          </cell>
          <cell r="N91">
            <v>23360</v>
          </cell>
          <cell r="O91" t="str">
            <v>물정 '98.11 p.50</v>
          </cell>
        </row>
        <row r="92">
          <cell r="B92" t="str">
            <v>03980-074</v>
          </cell>
          <cell r="C92" t="str">
            <v>PLATE</v>
          </cell>
          <cell r="D92" t="str">
            <v>C S</v>
          </cell>
          <cell r="E92" t="str">
            <v>PL220x100x15t</v>
          </cell>
          <cell r="G92" t="str">
            <v>22100-300</v>
          </cell>
          <cell r="H92">
            <v>8</v>
          </cell>
          <cell r="K92">
            <v>2.5920000000000001</v>
          </cell>
          <cell r="L92">
            <v>20.736000000000001</v>
          </cell>
          <cell r="M92">
            <v>1049</v>
          </cell>
          <cell r="N92">
            <v>8392</v>
          </cell>
          <cell r="O92" t="str">
            <v>물정 '98.11 p.50</v>
          </cell>
        </row>
        <row r="93">
          <cell r="B93" t="str">
            <v>03980-102</v>
          </cell>
          <cell r="C93" t="str">
            <v>PLATE</v>
          </cell>
          <cell r="D93" t="str">
            <v>C S</v>
          </cell>
          <cell r="E93" t="str">
            <v>PL200x200x9t</v>
          </cell>
          <cell r="G93" t="str">
            <v>22100-300</v>
          </cell>
          <cell r="H93">
            <v>4</v>
          </cell>
          <cell r="K93">
            <v>2.8260000000000001</v>
          </cell>
          <cell r="L93">
            <v>11.304</v>
          </cell>
          <cell r="M93">
            <v>1172</v>
          </cell>
          <cell r="N93">
            <v>4688</v>
          </cell>
          <cell r="O93" t="str">
            <v>물정 '98.11 p.50</v>
          </cell>
        </row>
        <row r="94">
          <cell r="B94" t="str">
            <v>03980-081</v>
          </cell>
          <cell r="C94" t="str">
            <v>PLATE</v>
          </cell>
          <cell r="D94" t="str">
            <v>C S</v>
          </cell>
          <cell r="E94" t="str">
            <v>PL150x50x15t</v>
          </cell>
          <cell r="G94" t="str">
            <v>22100-300</v>
          </cell>
          <cell r="H94">
            <v>42</v>
          </cell>
          <cell r="K94">
            <v>0.88400000000000001</v>
          </cell>
          <cell r="L94">
            <v>37.128</v>
          </cell>
          <cell r="M94">
            <v>358</v>
          </cell>
          <cell r="N94">
            <v>15036</v>
          </cell>
          <cell r="O94" t="str">
            <v>물정 '98.11 p.50</v>
          </cell>
        </row>
        <row r="95">
          <cell r="B95" t="str">
            <v>03980-102</v>
          </cell>
          <cell r="C95" t="str">
            <v>PLATE</v>
          </cell>
          <cell r="D95" t="str">
            <v>C S</v>
          </cell>
          <cell r="E95" t="str">
            <v>PL140x98x15t</v>
          </cell>
          <cell r="G95" t="str">
            <v>22100-300</v>
          </cell>
          <cell r="H95">
            <v>4</v>
          </cell>
          <cell r="K95">
            <v>1.6160000000000001</v>
          </cell>
          <cell r="L95">
            <v>6.4640000000000004</v>
          </cell>
          <cell r="M95">
            <v>654</v>
          </cell>
          <cell r="N95">
            <v>2616</v>
          </cell>
          <cell r="O95" t="str">
            <v>물정 '98.11 p.50</v>
          </cell>
        </row>
        <row r="96">
          <cell r="B96" t="str">
            <v>03980-073</v>
          </cell>
          <cell r="C96" t="str">
            <v>PLATE</v>
          </cell>
          <cell r="D96" t="str">
            <v>C S</v>
          </cell>
          <cell r="E96" t="str">
            <v>PL103x96x10t</v>
          </cell>
          <cell r="G96" t="str">
            <v>22100-300</v>
          </cell>
          <cell r="H96">
            <v>384</v>
          </cell>
          <cell r="K96">
            <v>0.77600000000000002</v>
          </cell>
          <cell r="L96">
            <v>297.98399999999998</v>
          </cell>
          <cell r="M96">
            <v>314</v>
          </cell>
          <cell r="N96">
            <v>120576</v>
          </cell>
          <cell r="O96" t="str">
            <v>물정 '98.11 p.50</v>
          </cell>
        </row>
        <row r="97">
          <cell r="B97" t="str">
            <v>03980-084</v>
          </cell>
          <cell r="C97" t="str">
            <v>PIPE STD WT</v>
          </cell>
          <cell r="D97" t="str">
            <v>C S</v>
          </cell>
          <cell r="E97" t="str">
            <v>DN200</v>
          </cell>
          <cell r="F97">
            <v>128</v>
          </cell>
          <cell r="G97" t="str">
            <v>22100-300</v>
          </cell>
          <cell r="H97">
            <v>6</v>
          </cell>
          <cell r="K97">
            <v>5.484</v>
          </cell>
          <cell r="L97">
            <v>32.904000000000003</v>
          </cell>
          <cell r="M97">
            <v>312.32</v>
          </cell>
          <cell r="N97">
            <v>1873</v>
          </cell>
          <cell r="O97" t="str">
            <v>물자 '98.11 p.476</v>
          </cell>
        </row>
        <row r="98">
          <cell r="B98" t="str">
            <v>03980-102</v>
          </cell>
          <cell r="C98" t="str">
            <v>PIPE STD WT</v>
          </cell>
          <cell r="D98" t="str">
            <v>C S</v>
          </cell>
          <cell r="E98" t="str">
            <v>DN150</v>
          </cell>
          <cell r="F98">
            <v>220</v>
          </cell>
          <cell r="G98" t="str">
            <v>22100-300</v>
          </cell>
          <cell r="H98">
            <v>4</v>
          </cell>
          <cell r="K98">
            <v>6.22</v>
          </cell>
          <cell r="L98">
            <v>24.88</v>
          </cell>
          <cell r="M98">
            <v>3582.26</v>
          </cell>
          <cell r="N98">
            <v>14329</v>
          </cell>
          <cell r="O98" t="str">
            <v>물자 '98.11 p.476</v>
          </cell>
        </row>
        <row r="99">
          <cell r="B99" t="str">
            <v>03980-101</v>
          </cell>
          <cell r="C99" t="str">
            <v>H-BEAM</v>
          </cell>
          <cell r="D99" t="str">
            <v>C S</v>
          </cell>
          <cell r="E99" t="str">
            <v>H150x150x7x9</v>
          </cell>
          <cell r="F99">
            <v>302</v>
          </cell>
          <cell r="G99" t="str">
            <v>22100-300</v>
          </cell>
          <cell r="H99">
            <v>2</v>
          </cell>
          <cell r="K99">
            <v>9.5129999999999999</v>
          </cell>
          <cell r="L99">
            <v>19.026</v>
          </cell>
          <cell r="M99">
            <v>4613</v>
          </cell>
          <cell r="N99">
            <v>9226</v>
          </cell>
          <cell r="O99" t="str">
            <v>물정 '98.11 p.47</v>
          </cell>
        </row>
        <row r="100">
          <cell r="B100" t="str">
            <v>03980-087</v>
          </cell>
          <cell r="C100" t="str">
            <v>H-BEAM</v>
          </cell>
          <cell r="D100" t="str">
            <v>C S</v>
          </cell>
          <cell r="E100" t="str">
            <v>H150x100x6x9</v>
          </cell>
          <cell r="F100">
            <v>775</v>
          </cell>
          <cell r="G100" t="str">
            <v>22100-300</v>
          </cell>
          <cell r="H100">
            <v>5</v>
          </cell>
          <cell r="K100">
            <v>16.353000000000002</v>
          </cell>
          <cell r="L100">
            <v>81.765000000000001</v>
          </cell>
          <cell r="M100">
            <v>7931</v>
          </cell>
          <cell r="N100">
            <v>39655</v>
          </cell>
          <cell r="O100" t="str">
            <v>물정 '98.11 p.47</v>
          </cell>
        </row>
        <row r="101">
          <cell r="B101" t="str">
            <v>03980-087</v>
          </cell>
          <cell r="C101" t="str">
            <v>H-BEAM</v>
          </cell>
          <cell r="D101" t="str">
            <v>C S</v>
          </cell>
          <cell r="E101" t="str">
            <v>H150x100x6x9</v>
          </cell>
          <cell r="F101">
            <v>1800</v>
          </cell>
          <cell r="G101" t="str">
            <v>22100-300</v>
          </cell>
          <cell r="H101">
            <v>10</v>
          </cell>
          <cell r="K101">
            <v>37.979999999999997</v>
          </cell>
          <cell r="L101">
            <v>379.8</v>
          </cell>
          <cell r="M101">
            <v>18420</v>
          </cell>
          <cell r="N101">
            <v>184200</v>
          </cell>
          <cell r="O101" t="str">
            <v>물정 '98.11 p.47</v>
          </cell>
        </row>
        <row r="102">
          <cell r="B102" t="str">
            <v>03980-073</v>
          </cell>
          <cell r="C102" t="str">
            <v>H-BEAM</v>
          </cell>
          <cell r="D102" t="str">
            <v>C S</v>
          </cell>
          <cell r="E102" t="str">
            <v>H100x100x6x8</v>
          </cell>
          <cell r="F102">
            <v>520</v>
          </cell>
          <cell r="G102" t="str">
            <v>22100-300</v>
          </cell>
          <cell r="H102">
            <v>2</v>
          </cell>
          <cell r="K102">
            <v>8.9440000000000008</v>
          </cell>
          <cell r="L102">
            <v>17.888000000000002</v>
          </cell>
          <cell r="M102">
            <v>4337</v>
          </cell>
          <cell r="N102">
            <v>8674</v>
          </cell>
          <cell r="O102" t="str">
            <v>물정 '98.11 p.47</v>
          </cell>
        </row>
        <row r="103">
          <cell r="B103" t="str">
            <v>03980-091</v>
          </cell>
          <cell r="C103" t="str">
            <v>H-BEAM</v>
          </cell>
          <cell r="D103" t="str">
            <v>C S</v>
          </cell>
          <cell r="E103" t="str">
            <v>H100x100x6x8</v>
          </cell>
          <cell r="F103">
            <v>1000</v>
          </cell>
          <cell r="G103" t="str">
            <v>22100-300</v>
          </cell>
          <cell r="H103">
            <v>3</v>
          </cell>
          <cell r="K103">
            <v>17.2</v>
          </cell>
          <cell r="L103">
            <v>51.6</v>
          </cell>
          <cell r="M103">
            <v>8342</v>
          </cell>
          <cell r="N103">
            <v>25026</v>
          </cell>
          <cell r="O103" t="str">
            <v>물정 '98.11 p.47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refreshError="1">
        <row r="8">
          <cell r="A8" t="str">
            <v>HBY</v>
          </cell>
        </row>
        <row r="9">
          <cell r="A9" t="str">
            <v>85500-001</v>
          </cell>
          <cell r="B9" t="str">
            <v>ANCHOR BOLT</v>
          </cell>
          <cell r="C9" t="str">
            <v>C S</v>
          </cell>
          <cell r="D9" t="str">
            <v>M10x80L</v>
          </cell>
          <cell r="F9" t="str">
            <v>71730-150</v>
          </cell>
          <cell r="G9">
            <v>64</v>
          </cell>
          <cell r="H9">
            <v>0.11</v>
          </cell>
          <cell r="I9">
            <v>7.04</v>
          </cell>
        </row>
        <row r="10">
          <cell r="A10" t="str">
            <v>85500-001</v>
          </cell>
          <cell r="B10" t="str">
            <v>ANGLE</v>
          </cell>
          <cell r="C10" t="str">
            <v>C S</v>
          </cell>
          <cell r="D10" t="str">
            <v>L50X50X6</v>
          </cell>
          <cell r="E10">
            <v>1800</v>
          </cell>
          <cell r="F10" t="str">
            <v>71730-150</v>
          </cell>
          <cell r="G10">
            <v>1</v>
          </cell>
          <cell r="H10">
            <v>27.02</v>
          </cell>
          <cell r="I10">
            <v>27.02</v>
          </cell>
          <cell r="J10">
            <v>0.05</v>
          </cell>
        </row>
        <row r="11">
          <cell r="A11" t="str">
            <v>85500-001</v>
          </cell>
          <cell r="B11" t="str">
            <v>CHANNEL</v>
          </cell>
          <cell r="C11" t="str">
            <v>C S</v>
          </cell>
          <cell r="D11" t="str">
            <v>ㄷ100x50x5</v>
          </cell>
          <cell r="E11">
            <v>6100</v>
          </cell>
          <cell r="F11" t="str">
            <v>71730-150</v>
          </cell>
          <cell r="G11">
            <v>1</v>
          </cell>
          <cell r="H11">
            <v>57.1</v>
          </cell>
          <cell r="I11">
            <v>57.1</v>
          </cell>
          <cell r="J11">
            <v>0.05</v>
          </cell>
        </row>
        <row r="12">
          <cell r="A12" t="str">
            <v>85500-001</v>
          </cell>
          <cell r="B12" t="str">
            <v>CHANNEL</v>
          </cell>
          <cell r="C12" t="str">
            <v>C S</v>
          </cell>
          <cell r="D12" t="str">
            <v>ㄷ100x50x5</v>
          </cell>
          <cell r="E12">
            <v>2150</v>
          </cell>
          <cell r="F12" t="str">
            <v>71730-150</v>
          </cell>
          <cell r="G12">
            <v>5</v>
          </cell>
          <cell r="H12">
            <v>20.12</v>
          </cell>
          <cell r="I12">
            <v>100.6</v>
          </cell>
          <cell r="J12">
            <v>0.05</v>
          </cell>
        </row>
        <row r="13">
          <cell r="A13" t="str">
            <v>85500-001</v>
          </cell>
          <cell r="B13" t="str">
            <v>CHANNEL</v>
          </cell>
          <cell r="C13" t="str">
            <v>C S</v>
          </cell>
          <cell r="D13" t="str">
            <v>ㄷ100x50x5</v>
          </cell>
          <cell r="E13">
            <v>1900</v>
          </cell>
          <cell r="F13" t="str">
            <v>71730-150</v>
          </cell>
          <cell r="G13">
            <v>3</v>
          </cell>
          <cell r="H13">
            <v>17.78</v>
          </cell>
          <cell r="I13">
            <v>53.34</v>
          </cell>
          <cell r="J13">
            <v>0.05</v>
          </cell>
        </row>
        <row r="14">
          <cell r="A14" t="str">
            <v>85500-001</v>
          </cell>
          <cell r="B14" t="str">
            <v>STEEL PLATE</v>
          </cell>
          <cell r="C14" t="str">
            <v>C S</v>
          </cell>
          <cell r="D14" t="str">
            <v>PL150x150x9</v>
          </cell>
          <cell r="F14" t="str">
            <v>71730-150</v>
          </cell>
          <cell r="G14">
            <v>16</v>
          </cell>
          <cell r="H14">
            <v>1.59</v>
          </cell>
          <cell r="I14">
            <v>25.44</v>
          </cell>
          <cell r="J14">
            <v>0.1</v>
          </cell>
        </row>
        <row r="15">
          <cell r="A15" t="str">
            <v>85500-001</v>
          </cell>
          <cell r="B15" t="str">
            <v>U-BOLT</v>
          </cell>
          <cell r="C15" t="str">
            <v>C S</v>
          </cell>
          <cell r="D15" t="str">
            <v>DN150</v>
          </cell>
          <cell r="F15" t="str">
            <v>71730-150</v>
          </cell>
          <cell r="G15">
            <v>22</v>
          </cell>
          <cell r="H15">
            <v>1.1499999999999999</v>
          </cell>
          <cell r="I15">
            <v>25.3</v>
          </cell>
        </row>
        <row r="16">
          <cell r="A16" t="str">
            <v>85500-002</v>
          </cell>
          <cell r="B16" t="str">
            <v>ANCHOR BOLT</v>
          </cell>
          <cell r="C16" t="str">
            <v>C S</v>
          </cell>
          <cell r="D16" t="str">
            <v>M10x80L</v>
          </cell>
          <cell r="F16" t="str">
            <v>71730-125</v>
          </cell>
          <cell r="G16">
            <v>20</v>
          </cell>
          <cell r="H16">
            <v>0.11</v>
          </cell>
          <cell r="I16">
            <v>2.2000000000000002</v>
          </cell>
        </row>
        <row r="17">
          <cell r="A17" t="str">
            <v>85500-002</v>
          </cell>
          <cell r="B17" t="str">
            <v>CHANNEL</v>
          </cell>
          <cell r="C17" t="str">
            <v>C S</v>
          </cell>
          <cell r="D17" t="str">
            <v>ㄷ100x50x5</v>
          </cell>
          <cell r="E17">
            <v>2710</v>
          </cell>
          <cell r="F17" t="str">
            <v>71730-125</v>
          </cell>
          <cell r="G17">
            <v>1</v>
          </cell>
          <cell r="H17">
            <v>25.37</v>
          </cell>
          <cell r="I17">
            <v>25.37</v>
          </cell>
          <cell r="J17">
            <v>0.05</v>
          </cell>
        </row>
        <row r="18">
          <cell r="A18" t="str">
            <v>85500-002</v>
          </cell>
          <cell r="B18" t="str">
            <v>CHANNEL</v>
          </cell>
          <cell r="C18" t="str">
            <v>C S</v>
          </cell>
          <cell r="D18" t="str">
            <v>ㄷ100x50x5</v>
          </cell>
          <cell r="E18">
            <v>2230</v>
          </cell>
          <cell r="F18" t="str">
            <v>71730-125</v>
          </cell>
          <cell r="G18">
            <v>1</v>
          </cell>
          <cell r="H18">
            <v>20.87</v>
          </cell>
          <cell r="I18">
            <v>20.87</v>
          </cell>
          <cell r="J18">
            <v>0.05</v>
          </cell>
        </row>
        <row r="19">
          <cell r="A19" t="str">
            <v>85500-002</v>
          </cell>
          <cell r="B19" t="str">
            <v>CHANNEL</v>
          </cell>
          <cell r="C19" t="str">
            <v>C S</v>
          </cell>
          <cell r="D19" t="str">
            <v>ㄷ100x50x5</v>
          </cell>
          <cell r="E19">
            <v>3200</v>
          </cell>
          <cell r="F19" t="str">
            <v>71730-125</v>
          </cell>
          <cell r="G19">
            <v>1</v>
          </cell>
          <cell r="H19">
            <v>29.55</v>
          </cell>
          <cell r="I19">
            <v>29.55</v>
          </cell>
          <cell r="J19">
            <v>0.05</v>
          </cell>
        </row>
        <row r="20">
          <cell r="A20" t="str">
            <v>85500-002</v>
          </cell>
          <cell r="B20" t="str">
            <v>STEEL PLATE</v>
          </cell>
          <cell r="C20" t="str">
            <v>C S</v>
          </cell>
          <cell r="D20" t="str">
            <v>PL150x150x9</v>
          </cell>
          <cell r="F20" t="str">
            <v>71730-125</v>
          </cell>
          <cell r="G20">
            <v>5</v>
          </cell>
          <cell r="H20">
            <v>1.59</v>
          </cell>
          <cell r="I20">
            <v>7.95</v>
          </cell>
          <cell r="J20">
            <v>0.1</v>
          </cell>
        </row>
        <row r="21">
          <cell r="A21" t="str">
            <v>85500-002</v>
          </cell>
          <cell r="B21" t="str">
            <v>U-BOLT</v>
          </cell>
          <cell r="C21" t="str">
            <v>C S</v>
          </cell>
          <cell r="D21" t="str">
            <v>DN125</v>
          </cell>
          <cell r="F21" t="str">
            <v>71730-125</v>
          </cell>
          <cell r="G21">
            <v>10</v>
          </cell>
          <cell r="H21">
            <v>1</v>
          </cell>
          <cell r="I21">
            <v>10</v>
          </cell>
        </row>
        <row r="22">
          <cell r="A22" t="str">
            <v>85500-005</v>
          </cell>
          <cell r="B22" t="str">
            <v>ANGLE</v>
          </cell>
          <cell r="C22" t="str">
            <v>C S</v>
          </cell>
          <cell r="D22" t="str">
            <v>L50X50X6</v>
          </cell>
          <cell r="E22">
            <v>1000</v>
          </cell>
          <cell r="F22" t="str">
            <v>71730- 50</v>
          </cell>
          <cell r="G22">
            <v>15</v>
          </cell>
          <cell r="H22">
            <v>4.43</v>
          </cell>
          <cell r="I22">
            <v>66.45</v>
          </cell>
          <cell r="J22">
            <v>0.05</v>
          </cell>
        </row>
        <row r="23">
          <cell r="A23" t="str">
            <v>85500-005</v>
          </cell>
          <cell r="B23" t="str">
            <v>ANGLE</v>
          </cell>
          <cell r="C23" t="str">
            <v>C S</v>
          </cell>
          <cell r="D23" t="str">
            <v>L50X50X6</v>
          </cell>
          <cell r="E23">
            <v>500</v>
          </cell>
          <cell r="F23" t="str">
            <v>71730- 50</v>
          </cell>
          <cell r="G23">
            <v>8</v>
          </cell>
          <cell r="H23">
            <v>2.2000000000000002</v>
          </cell>
          <cell r="I23">
            <v>17.600000000000001</v>
          </cell>
          <cell r="J23">
            <v>0.05</v>
          </cell>
        </row>
        <row r="24">
          <cell r="A24" t="str">
            <v>85500-006</v>
          </cell>
          <cell r="B24" t="str">
            <v>ANGLE</v>
          </cell>
          <cell r="C24" t="str">
            <v>C S</v>
          </cell>
          <cell r="D24" t="str">
            <v>L50X50X6</v>
          </cell>
          <cell r="E24">
            <v>1100</v>
          </cell>
          <cell r="F24" t="str">
            <v>71730- 50</v>
          </cell>
          <cell r="G24">
            <v>8</v>
          </cell>
          <cell r="H24">
            <v>4.87</v>
          </cell>
          <cell r="I24">
            <v>38.96</v>
          </cell>
          <cell r="J24">
            <v>0.05</v>
          </cell>
        </row>
        <row r="25">
          <cell r="A25" t="str">
            <v>85500-005</v>
          </cell>
          <cell r="B25" t="str">
            <v>STEEL PLATE</v>
          </cell>
          <cell r="C25" t="str">
            <v>C S</v>
          </cell>
          <cell r="D25" t="str">
            <v>PL150x150x9</v>
          </cell>
          <cell r="F25" t="str">
            <v>71730- 50</v>
          </cell>
          <cell r="G25">
            <v>31</v>
          </cell>
          <cell r="H25">
            <v>1.59</v>
          </cell>
          <cell r="I25">
            <v>49.29</v>
          </cell>
          <cell r="J25">
            <v>0.1</v>
          </cell>
        </row>
        <row r="26">
          <cell r="A26" t="str">
            <v>85500-005</v>
          </cell>
          <cell r="B26" t="str">
            <v>U-BOLT</v>
          </cell>
          <cell r="C26" t="str">
            <v>C S</v>
          </cell>
          <cell r="D26" t="str">
            <v>DN50</v>
          </cell>
          <cell r="F26" t="str">
            <v>71730- 50</v>
          </cell>
          <cell r="G26">
            <v>62</v>
          </cell>
          <cell r="H26">
            <v>0.17</v>
          </cell>
          <cell r="I26">
            <v>10.54</v>
          </cell>
        </row>
        <row r="27">
          <cell r="A27" t="str">
            <v>85500-004</v>
          </cell>
          <cell r="B27" t="str">
            <v>ANGLE</v>
          </cell>
          <cell r="C27" t="str">
            <v>C S</v>
          </cell>
          <cell r="D27" t="str">
            <v>L50X50X6</v>
          </cell>
          <cell r="E27">
            <v>1800</v>
          </cell>
          <cell r="F27" t="str">
            <v>71730- 25</v>
          </cell>
          <cell r="G27">
            <v>13</v>
          </cell>
          <cell r="H27">
            <v>7.97</v>
          </cell>
          <cell r="I27">
            <v>103.61</v>
          </cell>
          <cell r="J27">
            <v>0.05</v>
          </cell>
        </row>
        <row r="28">
          <cell r="A28" t="str">
            <v>85500-005</v>
          </cell>
          <cell r="B28" t="str">
            <v>ANGLE</v>
          </cell>
          <cell r="C28" t="str">
            <v>C S</v>
          </cell>
          <cell r="D28" t="str">
            <v>L50X50X6</v>
          </cell>
          <cell r="E28">
            <v>500</v>
          </cell>
          <cell r="F28" t="str">
            <v>71730- 25</v>
          </cell>
          <cell r="G28">
            <v>4</v>
          </cell>
          <cell r="H28">
            <v>2.2200000000000002</v>
          </cell>
          <cell r="I28">
            <v>8.8800000000000008</v>
          </cell>
          <cell r="J28">
            <v>0.05</v>
          </cell>
        </row>
        <row r="29">
          <cell r="A29" t="str">
            <v>85500-006</v>
          </cell>
          <cell r="B29" t="str">
            <v>ANGLE</v>
          </cell>
          <cell r="C29" t="str">
            <v>C S</v>
          </cell>
          <cell r="D29" t="str">
            <v>L50X50X6</v>
          </cell>
          <cell r="E29">
            <v>1100</v>
          </cell>
          <cell r="F29" t="str">
            <v>71730- 25</v>
          </cell>
          <cell r="G29">
            <v>10</v>
          </cell>
          <cell r="H29">
            <v>4.87</v>
          </cell>
          <cell r="I29">
            <v>48.7</v>
          </cell>
          <cell r="J29">
            <v>0.05</v>
          </cell>
        </row>
        <row r="30">
          <cell r="A30" t="str">
            <v>85500-006</v>
          </cell>
          <cell r="B30" t="str">
            <v>ANGLE</v>
          </cell>
          <cell r="C30" t="str">
            <v>C S</v>
          </cell>
          <cell r="D30" t="str">
            <v>L50X50X6</v>
          </cell>
          <cell r="E30">
            <v>2100</v>
          </cell>
          <cell r="F30" t="str">
            <v>71730- 25</v>
          </cell>
          <cell r="G30">
            <v>10</v>
          </cell>
          <cell r="H30">
            <v>9.3000000000000007</v>
          </cell>
          <cell r="I30">
            <v>93</v>
          </cell>
          <cell r="J30">
            <v>0.05</v>
          </cell>
        </row>
        <row r="31">
          <cell r="A31" t="str">
            <v>85500-008</v>
          </cell>
          <cell r="B31" t="str">
            <v>ANGLE</v>
          </cell>
          <cell r="C31" t="str">
            <v>C S</v>
          </cell>
          <cell r="D31" t="str">
            <v>L50X50X6</v>
          </cell>
          <cell r="E31">
            <v>2000</v>
          </cell>
          <cell r="F31" t="str">
            <v>71730- 25</v>
          </cell>
          <cell r="G31">
            <v>1</v>
          </cell>
          <cell r="H31">
            <v>8.86</v>
          </cell>
          <cell r="I31">
            <v>8.86</v>
          </cell>
          <cell r="J31">
            <v>0.05</v>
          </cell>
        </row>
        <row r="32">
          <cell r="A32" t="str">
            <v>85500-004</v>
          </cell>
          <cell r="B32" t="str">
            <v>STEEL PLATE</v>
          </cell>
          <cell r="C32" t="str">
            <v>C S</v>
          </cell>
          <cell r="D32" t="str">
            <v>PL150x150x9</v>
          </cell>
          <cell r="F32" t="str">
            <v>71730- 25</v>
          </cell>
          <cell r="G32">
            <v>38</v>
          </cell>
          <cell r="H32">
            <v>1.59</v>
          </cell>
          <cell r="I32">
            <v>60.42</v>
          </cell>
          <cell r="J32">
            <v>0.1</v>
          </cell>
        </row>
        <row r="33">
          <cell r="A33" t="str">
            <v>85500-004</v>
          </cell>
          <cell r="B33" t="str">
            <v>U-BOLT</v>
          </cell>
          <cell r="C33" t="str">
            <v>C S</v>
          </cell>
          <cell r="D33" t="str">
            <v>DN25</v>
          </cell>
          <cell r="F33" t="str">
            <v>71730- 25</v>
          </cell>
          <cell r="G33">
            <v>47</v>
          </cell>
          <cell r="H33">
            <v>0.14000000000000001</v>
          </cell>
          <cell r="I33">
            <v>6.58</v>
          </cell>
        </row>
        <row r="35">
          <cell r="A35" t="str">
            <v>XBK</v>
          </cell>
        </row>
        <row r="36">
          <cell r="A36" t="str">
            <v>85500-002</v>
          </cell>
          <cell r="B36" t="str">
            <v>ANCHOR BOLT</v>
          </cell>
          <cell r="C36" t="str">
            <v>C S</v>
          </cell>
          <cell r="D36" t="str">
            <v>M10x80L</v>
          </cell>
          <cell r="F36" t="str">
            <v>71730-150</v>
          </cell>
          <cell r="G36">
            <v>36</v>
          </cell>
          <cell r="H36">
            <v>0.11</v>
          </cell>
          <cell r="I36">
            <v>3.96</v>
          </cell>
        </row>
        <row r="37">
          <cell r="A37" t="str">
            <v>85500-002</v>
          </cell>
          <cell r="B37" t="str">
            <v>CHANNEL</v>
          </cell>
          <cell r="C37" t="str">
            <v>C S</v>
          </cell>
          <cell r="D37" t="str">
            <v>ㄷ100x50x5</v>
          </cell>
          <cell r="E37">
            <v>2700</v>
          </cell>
          <cell r="F37" t="str">
            <v>71730-150</v>
          </cell>
          <cell r="G37">
            <v>4</v>
          </cell>
          <cell r="H37">
            <v>25.27</v>
          </cell>
          <cell r="I37">
            <v>101.08</v>
          </cell>
          <cell r="J37">
            <v>0.05</v>
          </cell>
        </row>
        <row r="38">
          <cell r="A38" t="str">
            <v>85500-002</v>
          </cell>
          <cell r="B38" t="str">
            <v>CHANNEL</v>
          </cell>
          <cell r="C38" t="str">
            <v>C S</v>
          </cell>
          <cell r="D38" t="str">
            <v>ㄷ100x50x5</v>
          </cell>
          <cell r="E38">
            <v>300</v>
          </cell>
          <cell r="F38" t="str">
            <v>71730-150</v>
          </cell>
          <cell r="G38">
            <v>1</v>
          </cell>
          <cell r="H38">
            <v>2.81</v>
          </cell>
          <cell r="I38">
            <v>2.81</v>
          </cell>
          <cell r="J38">
            <v>0.05</v>
          </cell>
        </row>
        <row r="39">
          <cell r="A39" t="str">
            <v>85500-002</v>
          </cell>
          <cell r="B39" t="str">
            <v>H-BEAM</v>
          </cell>
          <cell r="C39" t="str">
            <v>C S</v>
          </cell>
          <cell r="D39" t="str">
            <v>H100X100X6X8</v>
          </cell>
          <cell r="E39">
            <v>2300</v>
          </cell>
          <cell r="F39" t="str">
            <v>71730-150</v>
          </cell>
          <cell r="G39">
            <v>1</v>
          </cell>
          <cell r="H39">
            <v>39.56</v>
          </cell>
          <cell r="I39">
            <v>39.56</v>
          </cell>
          <cell r="J39">
            <v>7.0000000000000007E-2</v>
          </cell>
        </row>
        <row r="40">
          <cell r="A40" t="str">
            <v>85500-008</v>
          </cell>
          <cell r="B40" t="str">
            <v>H-BEAM</v>
          </cell>
          <cell r="C40" t="str">
            <v>C S</v>
          </cell>
          <cell r="D40" t="str">
            <v>H100X100X6X8</v>
          </cell>
          <cell r="E40">
            <v>5900</v>
          </cell>
          <cell r="F40" t="str">
            <v>71730-150</v>
          </cell>
          <cell r="G40">
            <v>4</v>
          </cell>
          <cell r="H40">
            <v>101.48</v>
          </cell>
          <cell r="I40">
            <v>405.92</v>
          </cell>
          <cell r="J40">
            <v>7.0000000000000007E-2</v>
          </cell>
        </row>
        <row r="41">
          <cell r="A41" t="str">
            <v>85500-002</v>
          </cell>
          <cell r="B41" t="str">
            <v>STEEL PLATE</v>
          </cell>
          <cell r="C41" t="str">
            <v>C S</v>
          </cell>
          <cell r="D41" t="str">
            <v>PL150x150x9</v>
          </cell>
          <cell r="F41" t="str">
            <v>71730-150</v>
          </cell>
          <cell r="G41">
            <v>17</v>
          </cell>
          <cell r="H41">
            <v>1.59</v>
          </cell>
          <cell r="I41">
            <v>27.03</v>
          </cell>
          <cell r="J41">
            <v>0.1</v>
          </cell>
        </row>
        <row r="42">
          <cell r="A42" t="str">
            <v>85500-002</v>
          </cell>
          <cell r="B42" t="str">
            <v>U-BOLT</v>
          </cell>
          <cell r="C42" t="str">
            <v>C S</v>
          </cell>
          <cell r="D42" t="str">
            <v>DN150</v>
          </cell>
          <cell r="F42" t="str">
            <v>71730-150</v>
          </cell>
          <cell r="G42">
            <v>17</v>
          </cell>
          <cell r="H42">
            <v>1.1499999999999999</v>
          </cell>
          <cell r="I42">
            <v>19.55</v>
          </cell>
        </row>
        <row r="43">
          <cell r="A43" t="str">
            <v>85500-002</v>
          </cell>
          <cell r="B43" t="str">
            <v>ANCHOR BOLT</v>
          </cell>
          <cell r="C43" t="str">
            <v>C S</v>
          </cell>
          <cell r="D43" t="str">
            <v>M10x80L</v>
          </cell>
          <cell r="F43" t="str">
            <v>71730-125</v>
          </cell>
          <cell r="G43">
            <v>16</v>
          </cell>
          <cell r="H43">
            <v>0.11</v>
          </cell>
          <cell r="I43">
            <v>1.76</v>
          </cell>
        </row>
        <row r="44">
          <cell r="A44" t="str">
            <v>85500-002</v>
          </cell>
          <cell r="B44" t="str">
            <v>CHANNEL</v>
          </cell>
          <cell r="C44" t="str">
            <v>C S</v>
          </cell>
          <cell r="D44" t="str">
            <v>ㄷ100x50x5</v>
          </cell>
          <cell r="E44">
            <v>300</v>
          </cell>
          <cell r="F44" t="str">
            <v>71730-125</v>
          </cell>
          <cell r="G44">
            <v>2</v>
          </cell>
          <cell r="H44">
            <v>2.81</v>
          </cell>
          <cell r="I44">
            <v>5.62</v>
          </cell>
          <cell r="J44">
            <v>0.05</v>
          </cell>
        </row>
        <row r="45">
          <cell r="A45" t="str">
            <v>85500-002</v>
          </cell>
          <cell r="B45" t="str">
            <v>H-BEAM</v>
          </cell>
          <cell r="C45" t="str">
            <v>C S</v>
          </cell>
          <cell r="D45" t="str">
            <v>H100X100X6X8</v>
          </cell>
          <cell r="E45">
            <v>2000</v>
          </cell>
          <cell r="F45" t="str">
            <v>71730-125</v>
          </cell>
          <cell r="G45">
            <v>3</v>
          </cell>
          <cell r="H45">
            <v>34.4</v>
          </cell>
          <cell r="I45">
            <v>103.2</v>
          </cell>
          <cell r="J45">
            <v>7.0000000000000007E-2</v>
          </cell>
        </row>
        <row r="46">
          <cell r="A46" t="str">
            <v>85500-002</v>
          </cell>
          <cell r="B46" t="str">
            <v>PIPE STD WT</v>
          </cell>
          <cell r="C46" t="str">
            <v>C S</v>
          </cell>
          <cell r="D46" t="str">
            <v>DN100</v>
          </cell>
          <cell r="E46">
            <v>2300</v>
          </cell>
          <cell r="F46" t="str">
            <v>71730-125</v>
          </cell>
          <cell r="G46">
            <v>1</v>
          </cell>
          <cell r="H46">
            <v>28.06</v>
          </cell>
          <cell r="I46">
            <v>28.06</v>
          </cell>
          <cell r="J46">
            <v>0.05</v>
          </cell>
        </row>
        <row r="47">
          <cell r="A47" t="str">
            <v>85500-002</v>
          </cell>
          <cell r="B47" t="str">
            <v>PIPE STD WT</v>
          </cell>
          <cell r="C47" t="str">
            <v>C S</v>
          </cell>
          <cell r="D47" t="str">
            <v>DN100</v>
          </cell>
          <cell r="E47">
            <v>2000</v>
          </cell>
          <cell r="F47" t="str">
            <v>71730-125</v>
          </cell>
          <cell r="G47">
            <v>1</v>
          </cell>
          <cell r="H47">
            <v>24.4</v>
          </cell>
          <cell r="I47">
            <v>24.4</v>
          </cell>
          <cell r="J47">
            <v>0.05</v>
          </cell>
        </row>
        <row r="48">
          <cell r="A48" t="str">
            <v>85500-002</v>
          </cell>
          <cell r="B48" t="str">
            <v>STEEL PLATE</v>
          </cell>
          <cell r="C48" t="str">
            <v>C S</v>
          </cell>
          <cell r="D48" t="str">
            <v>PL150x150x9</v>
          </cell>
          <cell r="F48" t="str">
            <v>71730-125</v>
          </cell>
          <cell r="G48">
            <v>4</v>
          </cell>
          <cell r="H48">
            <v>1.59</v>
          </cell>
          <cell r="I48">
            <v>6.36</v>
          </cell>
          <cell r="J48">
            <v>0.1</v>
          </cell>
        </row>
        <row r="49">
          <cell r="A49" t="str">
            <v>85500-002</v>
          </cell>
          <cell r="B49" t="str">
            <v>U-BOLT</v>
          </cell>
          <cell r="C49" t="str">
            <v>C S</v>
          </cell>
          <cell r="D49" t="str">
            <v>DN125</v>
          </cell>
          <cell r="F49" t="str">
            <v>71730-125</v>
          </cell>
          <cell r="G49">
            <v>2</v>
          </cell>
          <cell r="H49">
            <v>1</v>
          </cell>
          <cell r="I49">
            <v>2</v>
          </cell>
        </row>
        <row r="50">
          <cell r="A50" t="str">
            <v>85500-008</v>
          </cell>
          <cell r="B50" t="str">
            <v>H-BEAM</v>
          </cell>
          <cell r="C50" t="str">
            <v>C S</v>
          </cell>
          <cell r="D50" t="str">
            <v>H100X100X6X8</v>
          </cell>
          <cell r="E50">
            <v>5900</v>
          </cell>
          <cell r="F50" t="str">
            <v>71730-100</v>
          </cell>
          <cell r="G50">
            <v>2</v>
          </cell>
          <cell r="H50">
            <v>101.48</v>
          </cell>
          <cell r="I50">
            <v>202.96</v>
          </cell>
          <cell r="J50">
            <v>7.0000000000000007E-2</v>
          </cell>
        </row>
        <row r="51">
          <cell r="A51" t="str">
            <v>85500-008</v>
          </cell>
          <cell r="B51" t="str">
            <v>H-BEAM</v>
          </cell>
          <cell r="C51" t="str">
            <v>C S</v>
          </cell>
          <cell r="D51" t="str">
            <v>H100X100X6X8</v>
          </cell>
          <cell r="E51">
            <v>4280</v>
          </cell>
          <cell r="F51" t="str">
            <v>71730-100</v>
          </cell>
          <cell r="G51">
            <v>1</v>
          </cell>
          <cell r="H51">
            <v>73.62</v>
          </cell>
          <cell r="I51">
            <v>73.62</v>
          </cell>
          <cell r="J51">
            <v>7.0000000000000007E-2</v>
          </cell>
        </row>
        <row r="52">
          <cell r="A52" t="str">
            <v>85500-008</v>
          </cell>
          <cell r="B52" t="str">
            <v>STEEL PLATE</v>
          </cell>
          <cell r="C52" t="str">
            <v>C S</v>
          </cell>
          <cell r="D52" t="str">
            <v>PL150x150x9</v>
          </cell>
          <cell r="F52" t="str">
            <v>71730-100</v>
          </cell>
          <cell r="G52">
            <v>6</v>
          </cell>
          <cell r="H52">
            <v>1.59</v>
          </cell>
          <cell r="I52">
            <v>9.5399999999999991</v>
          </cell>
          <cell r="J52">
            <v>0.1</v>
          </cell>
        </row>
        <row r="53">
          <cell r="A53" t="str">
            <v>85500-008</v>
          </cell>
          <cell r="B53" t="str">
            <v>U-BOLT</v>
          </cell>
          <cell r="C53" t="str">
            <v>C S</v>
          </cell>
          <cell r="D53" t="str">
            <v>DN100</v>
          </cell>
          <cell r="F53" t="str">
            <v>71730-100</v>
          </cell>
          <cell r="G53">
            <v>8</v>
          </cell>
          <cell r="H53">
            <v>0.45</v>
          </cell>
          <cell r="I53">
            <v>3.6</v>
          </cell>
        </row>
      </sheetData>
      <sheetData sheetId="38" refreshError="1"/>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gy Charge"/>
      <sheetName val="Fixed Charge"/>
      <sheetName val="Reliability Charge"/>
      <sheetName val="Fixed Charge (1)"/>
      <sheetName val="per unit"/>
    </sheetNames>
    <sheetDataSet>
      <sheetData sheetId="0" refreshError="1"/>
      <sheetData sheetId="1"/>
      <sheetData sheetId="2" refreshError="1"/>
      <sheetData sheetId="3" refreshError="1"/>
      <sheetData sheetId="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F1"/>
      <sheetName val="F2 "/>
      <sheetName val="F3"/>
      <sheetName val="F3.1"/>
      <sheetName val="F3.2"/>
      <sheetName val="F3.3"/>
      <sheetName val="Summary"/>
      <sheetName val="F4"/>
      <sheetName val="F4 ABPS"/>
      <sheetName val="F5"/>
      <sheetName val="Sources of capitalisation"/>
      <sheetName val="Capex Team"/>
      <sheetName val="Add during the year 2010_HOSS"/>
      <sheetName val="HOSS FY11"/>
      <sheetName val="F5.1"/>
      <sheetName val="F5.1 APBS"/>
      <sheetName val="Norm Loans - D ABPS"/>
      <sheetName val="Norm Loans - D"/>
      <sheetName val="F5.2"/>
      <sheetName val="F5.2 ABPS"/>
      <sheetName val="F5.3 D"/>
      <sheetName val="F5.4 D"/>
      <sheetName val="F5.4 D ABPS"/>
      <sheetName val="F8"/>
      <sheetName val="Query No. 10"/>
      <sheetName val="F6"/>
      <sheetName val="F7"/>
      <sheetName val="F9"/>
      <sheetName val="F10"/>
      <sheetName val="F11"/>
      <sheetName val="F12 "/>
      <sheetName val="F11.1"/>
      <sheetName val="F13 "/>
      <sheetName val="F13.1"/>
      <sheetName val="F13.1 C"/>
      <sheetName val="F14"/>
      <sheetName val="F15"/>
      <sheetName val="F16"/>
      <sheetName val="F17"/>
      <sheetName val="F20"/>
    </sheetNames>
    <definedNames>
      <definedName name="___a3" refersTo="#REF!" sheetId="8"/>
      <definedName name="__a3" refersTo="#REF!" sheetId="8"/>
      <definedName name="_a3" refersTo="#REF!" sheetId="8"/>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작성해 볼까요"/>
      <sheetName val="편성내역서"/>
      <sheetName val="실행예산종합"/>
      <sheetName val="예정배부율"/>
      <sheetName val="Sheet9"/>
      <sheetName val="Module1"/>
      <sheetName val="Module2"/>
      <sheetName val="Module3"/>
      <sheetName val="Module4"/>
      <sheetName val="실행예산편성2"/>
      <sheetName val="작성해_볼까요"/>
      <sheetName val="작성해_볼까요1"/>
    </sheetNames>
    <definedNames>
      <definedName name="_xlbgnm.BBQ1"/>
      <definedName name="QQQ"/>
    </defined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현장배관물량"/>
      <sheetName val="현장배관물량집계"/>
      <sheetName val="현장지지물물량"/>
      <sheetName val="지지물집계"/>
      <sheetName val="현장집계3"/>
      <sheetName val="Sheet1"/>
      <sheetName val="설산1_나"/>
      <sheetName val="본사S"/>
      <sheetName val="설산1.나"/>
      <sheetName val="DF"/>
      <sheetName val="rough"/>
      <sheetName val="FINAL (3)"/>
    </sheetNames>
    <sheetDataSet>
      <sheetData sheetId="0" refreshError="1"/>
      <sheetData sheetId="1" refreshError="1"/>
      <sheetData sheetId="2" refreshError="1">
        <row r="1">
          <cell r="F1" t="str">
            <v>*********************************</v>
          </cell>
        </row>
        <row r="2">
          <cell r="F2" t="str">
            <v>*****   FIELD FAB. SUPPORT  *****</v>
          </cell>
        </row>
        <row r="3">
          <cell r="F3" t="str">
            <v>*********************************</v>
          </cell>
        </row>
        <row r="4">
          <cell r="A4" t="str">
            <v>=</v>
          </cell>
          <cell r="B4" t="str">
            <v>=</v>
          </cell>
          <cell r="C4" t="str">
            <v>=</v>
          </cell>
          <cell r="D4" t="str">
            <v>=</v>
          </cell>
          <cell r="E4" t="str">
            <v>=</v>
          </cell>
          <cell r="F4" t="str">
            <v>=</v>
          </cell>
          <cell r="G4" t="str">
            <v>=</v>
          </cell>
          <cell r="H4" t="str">
            <v>=</v>
          </cell>
          <cell r="I4" t="str">
            <v>=</v>
          </cell>
          <cell r="J4" t="str">
            <v>=</v>
          </cell>
          <cell r="K4" t="str">
            <v>=</v>
          </cell>
          <cell r="L4" t="str">
            <v>=</v>
          </cell>
          <cell r="M4" t="str">
            <v>=</v>
          </cell>
          <cell r="N4" t="str">
            <v>=</v>
          </cell>
          <cell r="Q4" t="str">
            <v>=</v>
          </cell>
        </row>
        <row r="5">
          <cell r="A5" t="str">
            <v>DWG.NO.</v>
          </cell>
          <cell r="B5" t="str">
            <v>SPEC</v>
          </cell>
          <cell r="C5" t="str">
            <v>ITEM</v>
          </cell>
          <cell r="D5" t="str">
            <v>MATERIAL</v>
          </cell>
          <cell r="E5" t="str">
            <v xml:space="preserve">    SIZE</v>
          </cell>
          <cell r="F5" t="str">
            <v>LANGTH</v>
          </cell>
          <cell r="G5" t="str">
            <v>SYS.-DIA</v>
          </cell>
          <cell r="H5" t="str">
            <v>TOTAL</v>
          </cell>
          <cell r="I5" t="str">
            <v>ELEVATION</v>
          </cell>
          <cell r="K5" t="str">
            <v>IN/OUT</v>
          </cell>
          <cell r="L5" t="str">
            <v>UNIT WT</v>
          </cell>
          <cell r="M5" t="str">
            <v>TOTAL WT</v>
          </cell>
          <cell r="N5" t="str">
            <v>REMARK</v>
          </cell>
          <cell r="P5" t="str">
            <v>SET</v>
          </cell>
          <cell r="Q5" t="str">
            <v>Q'TY</v>
          </cell>
        </row>
        <row r="6">
          <cell r="A6" t="str">
            <v>=</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t="str">
            <v>=</v>
          </cell>
          <cell r="Q6" t="str">
            <v>=</v>
          </cell>
        </row>
        <row r="8">
          <cell r="A8" t="str">
            <v>HBY</v>
          </cell>
        </row>
        <row r="9">
          <cell r="A9" t="str">
            <v>85500-001</v>
          </cell>
          <cell r="C9" t="str">
            <v>CHANNEL</v>
          </cell>
          <cell r="D9" t="str">
            <v>C S</v>
          </cell>
          <cell r="E9" t="str">
            <v>ㄷ100x50x5</v>
          </cell>
          <cell r="F9">
            <v>6100</v>
          </cell>
          <cell r="G9" t="str">
            <v>71730-150</v>
          </cell>
          <cell r="H9">
            <v>1</v>
          </cell>
          <cell r="I9" t="str">
            <v>5900/2200</v>
          </cell>
        </row>
        <row r="10">
          <cell r="A10" t="str">
            <v>85500-001</v>
          </cell>
          <cell r="C10" t="str">
            <v>ANGLE</v>
          </cell>
          <cell r="D10" t="str">
            <v>C S</v>
          </cell>
          <cell r="E10" t="str">
            <v>L50X50X6</v>
          </cell>
          <cell r="F10">
            <v>1800</v>
          </cell>
          <cell r="G10" t="str">
            <v>71730-150</v>
          </cell>
          <cell r="H10">
            <v>1</v>
          </cell>
          <cell r="I10" t="str">
            <v>5900/2200</v>
          </cell>
        </row>
        <row r="11">
          <cell r="A11" t="str">
            <v>85500-001</v>
          </cell>
          <cell r="C11" t="str">
            <v>U-BOLT</v>
          </cell>
          <cell r="D11" t="str">
            <v>C S</v>
          </cell>
          <cell r="E11" t="str">
            <v>DN150</v>
          </cell>
          <cell r="G11" t="str">
            <v>71730-150</v>
          </cell>
          <cell r="H11">
            <v>6</v>
          </cell>
          <cell r="I11" t="str">
            <v>5900/2200</v>
          </cell>
        </row>
        <row r="12">
          <cell r="A12" t="str">
            <v>85500-001</v>
          </cell>
          <cell r="C12" t="str">
            <v>ANCHOR BOLT</v>
          </cell>
          <cell r="D12" t="str">
            <v>C S</v>
          </cell>
          <cell r="E12" t="str">
            <v>M10x80L</v>
          </cell>
          <cell r="G12" t="str">
            <v>71730-150</v>
          </cell>
          <cell r="H12">
            <v>12</v>
          </cell>
          <cell r="I12" t="str">
            <v>5900/2200</v>
          </cell>
        </row>
        <row r="13">
          <cell r="A13" t="str">
            <v>85500-001</v>
          </cell>
          <cell r="C13" t="str">
            <v>STEEL PLATE</v>
          </cell>
          <cell r="D13" t="str">
            <v>C S</v>
          </cell>
          <cell r="E13" t="str">
            <v>PL150x150x9</v>
          </cell>
          <cell r="G13" t="str">
            <v>71730-150</v>
          </cell>
          <cell r="H13">
            <v>3</v>
          </cell>
          <cell r="I13" t="str">
            <v>5900/2200</v>
          </cell>
        </row>
        <row r="15">
          <cell r="A15" t="str">
            <v>85500-001</v>
          </cell>
          <cell r="C15" t="str">
            <v>CHANNEL</v>
          </cell>
          <cell r="D15" t="str">
            <v>C S</v>
          </cell>
          <cell r="E15" t="str">
            <v>ㄷ100x50x5</v>
          </cell>
          <cell r="F15">
            <v>2150</v>
          </cell>
          <cell r="G15" t="str">
            <v>71730-150</v>
          </cell>
          <cell r="H15">
            <v>5</v>
          </cell>
          <cell r="I15" t="str">
            <v>3150/2200</v>
          </cell>
        </row>
        <row r="16">
          <cell r="A16" t="str">
            <v>85500-001</v>
          </cell>
          <cell r="C16" t="str">
            <v>U-BOLT</v>
          </cell>
          <cell r="D16" t="str">
            <v>C S</v>
          </cell>
          <cell r="E16" t="str">
            <v>DN150</v>
          </cell>
          <cell r="G16" t="str">
            <v>71730-150</v>
          </cell>
          <cell r="H16">
            <v>10</v>
          </cell>
          <cell r="I16" t="str">
            <v>3150/2200</v>
          </cell>
        </row>
        <row r="17">
          <cell r="A17" t="str">
            <v>85500-001</v>
          </cell>
          <cell r="C17" t="str">
            <v>ANCHOR BOLT</v>
          </cell>
          <cell r="D17" t="str">
            <v>C S</v>
          </cell>
          <cell r="E17" t="str">
            <v>M10x80L</v>
          </cell>
          <cell r="G17" t="str">
            <v>71730-150</v>
          </cell>
          <cell r="H17">
            <v>40</v>
          </cell>
          <cell r="I17" t="str">
            <v>3150/2200</v>
          </cell>
        </row>
        <row r="18">
          <cell r="A18" t="str">
            <v>85500-001</v>
          </cell>
          <cell r="C18" t="str">
            <v>STEEL PLATE</v>
          </cell>
          <cell r="D18" t="str">
            <v>C S</v>
          </cell>
          <cell r="E18" t="str">
            <v>PL150x150x9</v>
          </cell>
          <cell r="G18" t="str">
            <v>71730-150</v>
          </cell>
          <cell r="H18">
            <v>10</v>
          </cell>
          <cell r="I18" t="str">
            <v>3150/2200</v>
          </cell>
        </row>
        <row r="20">
          <cell r="A20" t="str">
            <v>85500-001</v>
          </cell>
          <cell r="C20" t="str">
            <v>CHANNEL</v>
          </cell>
          <cell r="D20" t="str">
            <v>C S</v>
          </cell>
          <cell r="E20" t="str">
            <v>ㄷ100x50x5</v>
          </cell>
          <cell r="F20">
            <v>1900</v>
          </cell>
          <cell r="G20" t="str">
            <v>71730-150</v>
          </cell>
          <cell r="H20">
            <v>3</v>
          </cell>
          <cell r="I20" t="str">
            <v>3150/2200</v>
          </cell>
        </row>
        <row r="21">
          <cell r="A21" t="str">
            <v>85500-001</v>
          </cell>
          <cell r="C21" t="str">
            <v>U-BOLT</v>
          </cell>
          <cell r="D21" t="str">
            <v>C S</v>
          </cell>
          <cell r="E21" t="str">
            <v>DN150</v>
          </cell>
          <cell r="G21" t="str">
            <v>71730-150</v>
          </cell>
          <cell r="H21">
            <v>6</v>
          </cell>
          <cell r="I21" t="str">
            <v>3150/2200</v>
          </cell>
        </row>
        <row r="22">
          <cell r="A22" t="str">
            <v>85500-001</v>
          </cell>
          <cell r="C22" t="str">
            <v>ANCHOR BOLT</v>
          </cell>
          <cell r="D22" t="str">
            <v>C S</v>
          </cell>
          <cell r="E22" t="str">
            <v>M10x80L</v>
          </cell>
          <cell r="G22" t="str">
            <v>71730-150</v>
          </cell>
          <cell r="H22">
            <v>12</v>
          </cell>
          <cell r="I22" t="str">
            <v>3150/2200</v>
          </cell>
        </row>
        <row r="23">
          <cell r="A23" t="str">
            <v>85500-001</v>
          </cell>
          <cell r="C23" t="str">
            <v>STEEL PLATE</v>
          </cell>
          <cell r="D23" t="str">
            <v>C S</v>
          </cell>
          <cell r="E23" t="str">
            <v>PL150x150x9</v>
          </cell>
          <cell r="G23" t="str">
            <v>71730-150</v>
          </cell>
          <cell r="H23">
            <v>3</v>
          </cell>
          <cell r="I23" t="str">
            <v>3150/2200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input"/>
      <sheetName val="Daily report"/>
      <sheetName val="OCM2"/>
      <sheetName val="OCM4"/>
      <sheetName val="OCM1"/>
      <sheetName val="OCM3"/>
      <sheetName val="OCM5"/>
      <sheetName val="OCM7"/>
      <sheetName val="INDEX"/>
      <sheetName val="OCM6"/>
      <sheetName val="highlight"/>
      <sheetName val="water"/>
      <sheetName val="AWARD"/>
      <sheetName val="CE"/>
      <sheetName val="hrawd"/>
      <sheetName val="2000-01"/>
      <sheetName val="04REL"/>
      <sheetName val="Daily_input"/>
      <sheetName val="Daily_report"/>
      <sheetName val="Inputs &amp; Assumption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sheetData sheetId="1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SUMM PS"/>
      <sheetName val="EX. SUMM GEN"/>
      <sheetName val="Maintenance "/>
      <sheetName val="CENTRAL SECTOR"/>
      <sheetName val="SCH,ACT"/>
      <sheetName val="GP Ther"/>
      <sheetName val="GP Hyd"/>
      <sheetName val="Fuel Cons."/>
      <sheetName val="Unitwise TPI"/>
      <sheetName val="Stnwise TPI"/>
      <sheetName val="Monthwise TPI"/>
      <sheetName val="PLF aprsep"/>
      <sheetName val="PLF OctMar"/>
      <sheetName val="Monthwise Sp.oil Cons."/>
      <sheetName val="Oil Cons. Account"/>
      <sheetName val="CA"/>
      <sheetName val="TIME DURATION CAUSE ANALYSIS"/>
      <sheetName val="Ploss"/>
      <sheetName val="MCRH"/>
      <sheetName val="R.Hrs. Since Comm"/>
      <sheetName val="LEVEL"/>
      <sheetName val="EB"/>
      <sheetName val="MORNING,EVENING PEAK"/>
      <sheetName val="COMP,UNRESTRICTED DEMAND"/>
      <sheetName val="CSG 01-02"/>
      <sheetName val="CSD"/>
      <sheetName val="SUPPLY HRS"/>
      <sheetName val="MiniMicro"/>
      <sheetName val="MPSEB90-01MONTHLY GENPLF"/>
      <sheetName val="400KV LOD"/>
      <sheetName val="220KV"/>
      <sheetName val="Energy Audit At PS"/>
      <sheetName val="All India PLF 1991-92 onwar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LDAILY"/>
      <sheetName val="MPCSSD"/>
      <sheetName val="DTHG"/>
      <sheetName val="Chart1"/>
      <sheetName val="DLC"/>
    </sheetNames>
    <sheetDataSet>
      <sheetData sheetId="0" refreshError="1"/>
      <sheetData sheetId="1" refreshError="1"/>
      <sheetData sheetId="2" refreshError="1"/>
      <sheetData sheetId="3" refreshError="1"/>
      <sheetData sheetId="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ontent"/>
      <sheetName val="Project Outline"/>
      <sheetName val="주요공사"/>
      <sheetName val="Contractual Amount"/>
      <sheetName val="시헹예산"/>
      <sheetName val="TENDER vs BUDGET"/>
      <sheetName val="직영 vs 하청 - 2"/>
      <sheetName val="96 당초Schedule"/>
      <sheetName val="96 Performance"/>
      <sheetName val="소화-투입 분석표"/>
      <sheetName val="STF ORG(K)"/>
      <sheetName val="Staff Org. Chart"/>
      <sheetName val="Scope of Work"/>
      <sheetName val="Design Status"/>
      <sheetName val="DWG Status"/>
      <sheetName val="MAT'L Status"/>
      <sheetName val="장비동원"/>
      <sheetName val="근로자동원"/>
      <sheetName val="Install Status"/>
      <sheetName val="Staff Mob. Plan"/>
      <sheetName val="M.P Mob. Plan"/>
      <sheetName val="Eq. Mobilization"/>
      <sheetName val="Cover_Sheet"/>
      <sheetName val="Project_Outline"/>
      <sheetName val="Contractual_Amount"/>
      <sheetName val="TENDER_vs_BUDGET"/>
      <sheetName val="직영_vs_하청_-_2"/>
      <sheetName val="96_당초Schedule"/>
      <sheetName val="96_Performance"/>
      <sheetName val="소화-투입_분석표"/>
      <sheetName val="STF_ORG(K)"/>
      <sheetName val="Staff_Org__Chart"/>
      <sheetName val="Scope_of_Work"/>
      <sheetName val="Design_Status"/>
      <sheetName val="DWG_Status"/>
      <sheetName val="MAT'L_Status"/>
      <sheetName val="Install_Status"/>
      <sheetName val="Staff_Mob__Plan"/>
      <sheetName val="M_P_Mob__Plan"/>
      <sheetName val="Eq__Mobilization"/>
      <sheetName val="Cover_Sheet1"/>
      <sheetName val="Project_Outline1"/>
      <sheetName val="Contractual_Amount1"/>
      <sheetName val="TENDER_vs_BUDGET1"/>
      <sheetName val="직영_vs_하청_-_21"/>
      <sheetName val="96_당초Schedule1"/>
      <sheetName val="96_Performance1"/>
      <sheetName val="소화-투입_분석표1"/>
      <sheetName val="STF_ORG(K)1"/>
      <sheetName val="Staff_Org__Chart1"/>
      <sheetName val="Scope_of_Work1"/>
      <sheetName val="Design_Status1"/>
      <sheetName val="DWG_Status1"/>
      <sheetName val="MAT'L_Status1"/>
      <sheetName val="Install_Status1"/>
      <sheetName val="Staff_Mob__Plan1"/>
      <sheetName val="M_P_Mob__Plan1"/>
      <sheetName val="Eq__Mobilization1"/>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ss of Generation"/>
      <sheetName val="No.of Tube Leakage"/>
      <sheetName val="EB PS"/>
      <sheetName val="400 KV"/>
      <sheetName val="MCRH"/>
      <sheetName val="LONG DURATION OUTAGE"/>
      <sheetName val="TIME DURATION CAUSE ANALYSIS"/>
      <sheetName val="CAUSE ANALYSIS"/>
      <sheetName val="BREAKUP OF OIL"/>
      <sheetName val="PARTIAL LO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03"/>
      <sheetName val="01-02"/>
      <sheetName val="00-01"/>
      <sheetName val="99-00"/>
      <sheetName val="98-99"/>
      <sheetName val="97-98"/>
      <sheetName val="96-97"/>
      <sheetName val="95-96"/>
      <sheetName val="Summary X"/>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LDAILY"/>
      <sheetName val="MPCSSD"/>
      <sheetName val="DTHG"/>
      <sheetName val="Chart1"/>
      <sheetName val="DLC"/>
      <sheetName val="ttt"/>
      <sheetName val="BasicData"/>
      <sheetName val="Dates"/>
      <sheetName val="SalesCalculation"/>
      <sheetName val="CostOfCapital"/>
      <sheetName val="Payments"/>
      <sheetName val="Graphics"/>
      <sheetName val="Plausibility_Check"/>
      <sheetName val="DirectExpenseCosts"/>
      <sheetName val="OES"/>
      <sheetName val="Prosecco"/>
      <sheetName val="History"/>
      <sheetName val="DefVertrieb"/>
      <sheetName val="Trans"/>
      <sheetName val="Definitionen"/>
      <sheetName val="Sheet1"/>
      <sheetName val="Sheet1 (2)"/>
      <sheetName val="Liquid MF"/>
      <sheetName val="Index Sheet"/>
      <sheetName val="Summary"/>
      <sheetName val="Assumptions"/>
      <sheetName val="Heat Rate"/>
      <sheetName val="Gen Plan &amp; Gas Summ"/>
      <sheetName val="Gas and Fuel Cost"/>
      <sheetName val="Landed Cost"/>
      <sheetName val="P&amp;L and TRA"/>
      <sheetName val="Referrence Sheet"/>
      <sheetName val="Interest on TL"/>
      <sheetName val="Interest on Loan_Sugen 40"/>
      <sheetName val="margin."/>
      <sheetName val="Arrear PF"/>
      <sheetName val="DETAILS"/>
      <sheetName val="Gas Costing"/>
      <sheetName val="UNOSUGEN Fuel Planning &amp; PL"/>
      <sheetName val="Sugen40 AFC"/>
      <sheetName val="UNOGEN - Generation Planning"/>
      <sheetName val="Sheet2"/>
      <sheetName val="Input_Heat Rate"/>
      <sheetName val="Escalation_in_Assumptions"/>
      <sheetName val="事務所引越見積書"/>
      <sheetName val="条件表"/>
      <sheetName val="Base Data FY05"/>
      <sheetName val="Base Data AOP FY06"/>
      <sheetName val="Apr 05"/>
      <sheetName val="May 05"/>
      <sheetName val="Jun 05 unaudited"/>
      <sheetName val="June 05"/>
      <sheetName val="July 05"/>
      <sheetName val="Aug 05"/>
      <sheetName val="Sep 05"/>
      <sheetName val="Oct 05"/>
      <sheetName val="Nov 05"/>
      <sheetName val="Base Data Actuals"/>
      <sheetName val="MIS (old) "/>
      <sheetName val="Supply"/>
      <sheetName val="S Q1"/>
      <sheetName val="S July 05"/>
      <sheetName val="S Aug 05"/>
      <sheetName val="S Act H1"/>
      <sheetName val="S Oct 05"/>
      <sheetName val="S Nov 05"/>
      <sheetName val="Division wise (Aug)"/>
      <sheetName val="Division wise (H1)"/>
      <sheetName val="Analysis"/>
      <sheetName val="not used"/>
      <sheetName val="Financial Estimates"/>
    </sheetNames>
    <sheetDataSet>
      <sheetData sheetId="0" refreshError="1"/>
      <sheetData sheetId="1" refreshError="1"/>
      <sheetData sheetId="2" refreshError="1"/>
      <sheetData sheetId="3" refreshError="1"/>
      <sheetData sheetId="4" refreshError="1"/>
      <sheetData sheetId="5">
        <row r="3">
          <cell r="C3">
            <v>240</v>
          </cell>
        </row>
      </sheetData>
      <sheetData sheetId="6">
        <row r="3">
          <cell r="C3">
            <v>240</v>
          </cell>
        </row>
      </sheetData>
      <sheetData sheetId="7">
        <row r="3">
          <cell r="C3">
            <v>240</v>
          </cell>
        </row>
      </sheetData>
      <sheetData sheetId="8">
        <row r="3">
          <cell r="C3">
            <v>240</v>
          </cell>
        </row>
      </sheetData>
      <sheetData sheetId="9">
        <row r="3">
          <cell r="C3">
            <v>240</v>
          </cell>
        </row>
      </sheetData>
      <sheetData sheetId="10">
        <row r="2">
          <cell r="U2">
            <v>0.2</v>
          </cell>
        </row>
      </sheetData>
      <sheetData sheetId="11">
        <row r="2">
          <cell r="U2">
            <v>0.2</v>
          </cell>
        </row>
      </sheetData>
      <sheetData sheetId="12">
        <row r="2">
          <cell r="U2">
            <v>0.2</v>
          </cell>
        </row>
      </sheetData>
      <sheetData sheetId="13">
        <row r="2">
          <cell r="U2">
            <v>0.2</v>
          </cell>
        </row>
      </sheetData>
      <sheetData sheetId="14">
        <row r="2">
          <cell r="U2">
            <v>0.2</v>
          </cell>
        </row>
      </sheetData>
      <sheetData sheetId="15">
        <row r="2">
          <cell r="U2">
            <v>0.2</v>
          </cell>
        </row>
      </sheetData>
      <sheetData sheetId="16">
        <row r="2">
          <cell r="U2">
            <v>0.2</v>
          </cell>
        </row>
      </sheetData>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utive Summary -Thermal"/>
      <sheetName val="MPEB Performance"/>
      <sheetName val="Stationwise Thermal &amp; Hydel Gen"/>
      <sheetName val="Fuel Oil &amp; Aux. Cons."/>
      <sheetName val="TWELVE"/>
      <sheetName val="UGEN"/>
      <sheetName val="Yearly Thermal"/>
      <sheetName val="Yearly Hydel"/>
      <sheetName val="GPUF9196"/>
      <sheetName val="UNITWISE GEN &amp; FACTORS (S)"/>
      <sheetName val="GENPLF"/>
      <sheetName val="TPI"/>
      <sheetName val="TPI98-99"/>
      <sheetName val="TPI99-00"/>
      <sheetName val="TPI00-01"/>
      <sheetName val="TARGET9197"/>
      <sheetName val="TARGET 97-98"/>
      <sheetName val="TARGET 98-99"/>
      <sheetName val="TARGET 99-00"/>
      <sheetName val="TARGET 00-01"/>
      <sheetName val="MPSEB90-01MONTHLY GENPLF"/>
      <sheetName val="Budget Summary"/>
      <sheetName val="Sheet1"/>
      <sheetName val="GPEC-key assumptions"/>
      <sheetName val="GPEC-not used"/>
      <sheetName val="GPEC-2004"/>
      <sheetName val="GPEC BP (Rs)"/>
      <sheetName val="GPEC GAAP Adj"/>
      <sheetName val="P&amp;L-Jul"/>
      <sheetName val="Inputs"/>
      <sheetName val="Profit Components"/>
      <sheetName val="Yearly data"/>
      <sheetName val="13Mnth "/>
      <sheetName val="Sensitivity"/>
      <sheetName val="Debtors"/>
      <sheetName val="CLPP&amp;L"/>
      <sheetName val="P&amp;L"/>
      <sheetName val="Bal Sheet"/>
      <sheetName val="BS (local currency)"/>
      <sheetName val="add info (local currency)"/>
      <sheetName val="CF (local currency)"/>
      <sheetName val="Cash FLow"/>
      <sheetName val="CLPPA IRR"/>
      <sheetName val="CLPPA BP Comparison"/>
      <sheetName val="CLPPA Impairment Review"/>
      <sheetName val="repayment of loans"/>
      <sheetName val="Components Graph"/>
      <sheetName val="tariff components"/>
      <sheetName val="Tariff"/>
      <sheetName val="Fuel"/>
      <sheetName val="O &amp; M Escalation - Revenue"/>
      <sheetName val="IOCL Facility"/>
      <sheetName val="Debt"/>
      <sheetName val="TRAA"/>
      <sheetName val="Def.Tax"/>
      <sheetName val="Depn"/>
      <sheetName val="Depn IT"/>
      <sheetName val="Eco"/>
      <sheetName val="O &amp; M Exps."/>
      <sheetName val="Capital Exp."/>
      <sheetName val="Capital Exp. IT"/>
      <sheetName val="Water Charges"/>
      <sheetName val="GSPL Deposit"/>
      <sheetName val="PL,BS(Rs)"/>
      <sheetName val="Curr Liab &amp; Adv"/>
      <sheetName val="REPORT"/>
      <sheetName val="Balancesheet"/>
      <sheetName val="DropDown Data"/>
      <sheetName val="TestBM"/>
      <sheetName val="RecoveredExternalLink8"/>
      <sheetName val="현장배관물량"/>
      <sheetName val="현장배관물량집계"/>
      <sheetName val="현장지지물물량"/>
      <sheetName val="지지물집계"/>
      <sheetName val="현장집계3"/>
      <sheetName val="설산1.나"/>
      <sheetName val="본사S"/>
      <sheetName val="Output"/>
      <sheetName val="세진설연1"/>
      <sheetName val="sch 5-8"/>
      <sheetName val="cs1997"/>
      <sheetName val="Adjusted data"/>
      <sheetName val="JetFuel"/>
      <sheetName val="Block A"/>
      <sheetName val="W Natuna"/>
      <sheetName val="Corridor"/>
      <sheetName val="Valuation (F)"/>
      <sheetName val="WRLD EXPN"/>
      <sheetName val="Charts"/>
    </sheetNames>
    <sheetDataSet>
      <sheetData sheetId="0" refreshError="1">
        <row r="4">
          <cell r="A4" t="str">
            <v/>
          </cell>
          <cell r="B4" t="str">
            <v>P A R T I C U L A R S</v>
          </cell>
          <cell r="D4" t="str">
            <v>91-92</v>
          </cell>
          <cell r="E4" t="str">
            <v>92-93</v>
          </cell>
          <cell r="F4" t="str">
            <v>93-94</v>
          </cell>
          <cell r="G4" t="str">
            <v>94-95</v>
          </cell>
          <cell r="H4" t="str">
            <v xml:space="preserve">95-96 </v>
          </cell>
        </row>
        <row r="5">
          <cell r="A5">
            <v>1</v>
          </cell>
          <cell r="B5" t="str">
            <v>Thermal  Generation (Including 100 % Satpura )</v>
          </cell>
          <cell r="C5" t="str">
            <v>MU</v>
          </cell>
          <cell r="D5">
            <v>11579.92</v>
          </cell>
          <cell r="E5">
            <v>12363.2</v>
          </cell>
          <cell r="F5">
            <v>13331.49</v>
          </cell>
          <cell r="G5">
            <v>14781.19868</v>
          </cell>
          <cell r="H5">
            <v>16071.35</v>
          </cell>
        </row>
        <row r="6">
          <cell r="A6">
            <v>2</v>
          </cell>
          <cell r="B6" t="str">
            <v xml:space="preserve">Plan Target    </v>
          </cell>
          <cell r="C6" t="str">
            <v>MU</v>
          </cell>
          <cell r="D6">
            <v>13440</v>
          </cell>
          <cell r="E6">
            <v>13240</v>
          </cell>
          <cell r="F6">
            <v>14935</v>
          </cell>
          <cell r="G6">
            <v>14850</v>
          </cell>
          <cell r="H6">
            <v>16620</v>
          </cell>
        </row>
        <row r="7">
          <cell r="A7">
            <v>3</v>
          </cell>
          <cell r="B7" t="str">
            <v>ACHIEVEMENT Percentage of ( 2 )</v>
          </cell>
          <cell r="C7" t="str">
            <v>%</v>
          </cell>
          <cell r="D7">
            <v>86.160119047619048</v>
          </cell>
          <cell r="E7">
            <v>93.377643504531719</v>
          </cell>
          <cell r="F7">
            <v>89.26340810177436</v>
          </cell>
          <cell r="G7">
            <v>99.53669144781145</v>
          </cell>
          <cell r="H7">
            <v>96.698856799037301</v>
          </cell>
        </row>
        <row r="8">
          <cell r="A8">
            <v>4</v>
          </cell>
          <cell r="B8" t="str">
            <v>Plant    Utilisation    Factor            **</v>
          </cell>
          <cell r="C8" t="str">
            <v>%</v>
          </cell>
          <cell r="D8">
            <v>49.14</v>
          </cell>
          <cell r="E8">
            <v>52.6</v>
          </cell>
          <cell r="F8">
            <v>56.03</v>
          </cell>
          <cell r="G8">
            <v>58.1673864745838</v>
          </cell>
          <cell r="H8">
            <v>59.2</v>
          </cell>
        </row>
        <row r="9">
          <cell r="A9">
            <v>5</v>
          </cell>
          <cell r="B9" t="str">
            <v>Plant    Availibility   Factor              **</v>
          </cell>
          <cell r="C9" t="str">
            <v>%</v>
          </cell>
          <cell r="D9">
            <v>66.92</v>
          </cell>
          <cell r="E9">
            <v>71.400000000000006</v>
          </cell>
          <cell r="F9">
            <v>72.040000000000006</v>
          </cell>
          <cell r="G9">
            <v>75.44</v>
          </cell>
          <cell r="H9">
            <v>75.3</v>
          </cell>
        </row>
        <row r="10">
          <cell r="A10">
            <v>6</v>
          </cell>
          <cell r="B10" t="str">
            <v>Partial  Unavailability Factor         **</v>
          </cell>
          <cell r="C10" t="str">
            <v>%</v>
          </cell>
          <cell r="D10">
            <v>17.78</v>
          </cell>
          <cell r="E10">
            <v>18.8</v>
          </cell>
          <cell r="F10">
            <v>16</v>
          </cell>
          <cell r="G10">
            <v>17.272613525416201</v>
          </cell>
          <cell r="H10">
            <v>16.16</v>
          </cell>
        </row>
        <row r="11">
          <cell r="A11" t="str">
            <v>a</v>
          </cell>
          <cell r="B11" t="str">
            <v>Main Boiler</v>
          </cell>
          <cell r="C11" t="str">
            <v>%</v>
          </cell>
          <cell r="D11">
            <v>0</v>
          </cell>
          <cell r="E11">
            <v>0.38</v>
          </cell>
          <cell r="F11">
            <v>0.24</v>
          </cell>
          <cell r="G11">
            <v>0.25</v>
          </cell>
          <cell r="H11">
            <v>2.4</v>
          </cell>
        </row>
        <row r="12">
          <cell r="A12" t="str">
            <v>b</v>
          </cell>
          <cell r="B12" t="str">
            <v>Boiler Auxiliaries(Mainly Mills)</v>
          </cell>
          <cell r="C12" t="str">
            <v>%</v>
          </cell>
          <cell r="D12">
            <v>2.1352047355439101</v>
          </cell>
          <cell r="E12">
            <v>0.82</v>
          </cell>
          <cell r="F12">
            <v>1.03</v>
          </cell>
          <cell r="G12">
            <v>0.57999999999999996</v>
          </cell>
          <cell r="H12">
            <v>5.0999999999999996</v>
          </cell>
        </row>
        <row r="13">
          <cell r="A13" t="str">
            <v>c</v>
          </cell>
          <cell r="B13" t="str">
            <v>Turbine</v>
          </cell>
          <cell r="C13" t="str">
            <v>%</v>
          </cell>
          <cell r="D13">
            <v>0.30946718340726254</v>
          </cell>
          <cell r="E13">
            <v>1.1200000000000001</v>
          </cell>
          <cell r="F13">
            <v>1.37</v>
          </cell>
          <cell r="G13">
            <v>0.28000000000000003</v>
          </cell>
          <cell r="H13">
            <v>0.8</v>
          </cell>
        </row>
        <row r="14">
          <cell r="A14" t="str">
            <v>d</v>
          </cell>
          <cell r="B14" t="str">
            <v>Turbine Auxiliaries</v>
          </cell>
          <cell r="C14" t="str">
            <v>%</v>
          </cell>
          <cell r="D14">
            <v>1.1834191455446403</v>
          </cell>
          <cell r="E14">
            <v>0.81</v>
          </cell>
          <cell r="F14">
            <v>0.54</v>
          </cell>
          <cell r="G14">
            <v>0.21</v>
          </cell>
          <cell r="H14">
            <v>0.6</v>
          </cell>
        </row>
        <row r="15">
          <cell r="A15" t="str">
            <v>e</v>
          </cell>
          <cell r="B15" t="str">
            <v>Generator</v>
          </cell>
          <cell r="C15" t="str">
            <v>%</v>
          </cell>
          <cell r="D15">
            <v>0.23316136939653051</v>
          </cell>
          <cell r="E15">
            <v>0.36</v>
          </cell>
          <cell r="F15">
            <v>0.69</v>
          </cell>
          <cell r="G15">
            <v>0.93</v>
          </cell>
          <cell r="H15">
            <v>0.3</v>
          </cell>
        </row>
        <row r="16">
          <cell r="A16" t="str">
            <v>f</v>
          </cell>
          <cell r="B16" t="str">
            <v>Electrical</v>
          </cell>
          <cell r="C16" t="str">
            <v>%</v>
          </cell>
          <cell r="D16">
            <v>0.46916617012716505</v>
          </cell>
          <cell r="E16">
            <v>0.28000000000000003</v>
          </cell>
          <cell r="F16">
            <v>0.28999999999999998</v>
          </cell>
          <cell r="G16">
            <v>1.78</v>
          </cell>
          <cell r="H16">
            <v>0.8</v>
          </cell>
        </row>
        <row r="17">
          <cell r="A17" t="str">
            <v>g</v>
          </cell>
          <cell r="B17" t="str">
            <v>Coal related (Quality ,Quantity ,Handling ,wet coal)</v>
          </cell>
          <cell r="C17" t="str">
            <v>%</v>
          </cell>
          <cell r="D17">
            <v>3.0365300291812445</v>
          </cell>
          <cell r="E17">
            <v>0.33</v>
          </cell>
          <cell r="F17">
            <v>0.12</v>
          </cell>
          <cell r="G17">
            <v>0.47</v>
          </cell>
          <cell r="H17">
            <v>5.8</v>
          </cell>
        </row>
        <row r="18">
          <cell r="A18" t="str">
            <v>h</v>
          </cell>
          <cell r="B18" t="str">
            <v>Others</v>
          </cell>
          <cell r="C18" t="str">
            <v>%</v>
          </cell>
          <cell r="D18">
            <v>2.2070544258220908</v>
          </cell>
          <cell r="E18">
            <v>3.85</v>
          </cell>
          <cell r="F18">
            <v>1.23</v>
          </cell>
          <cell r="G18">
            <v>1</v>
          </cell>
          <cell r="H18">
            <v>0.5</v>
          </cell>
        </row>
        <row r="19">
          <cell r="A19">
            <v>7</v>
          </cell>
          <cell r="B19" t="str">
            <v xml:space="preserve">Planned  Outage         Rate          </v>
          </cell>
          <cell r="C19" t="str">
            <v>MU</v>
          </cell>
          <cell r="D19">
            <v>3672.14</v>
          </cell>
          <cell r="E19">
            <v>3192.88</v>
          </cell>
          <cell r="F19">
            <v>3765.67</v>
          </cell>
          <cell r="G19">
            <v>2144.02</v>
          </cell>
          <cell r="H19">
            <v>3421.66</v>
          </cell>
        </row>
        <row r="20">
          <cell r="A20" t="str">
            <v>a</v>
          </cell>
          <cell r="C20" t="str">
            <v>No</v>
          </cell>
          <cell r="D20">
            <v>18</v>
          </cell>
          <cell r="E20">
            <v>23</v>
          </cell>
          <cell r="F20">
            <v>20</v>
          </cell>
          <cell r="G20">
            <v>24</v>
          </cell>
          <cell r="H20">
            <v>23</v>
          </cell>
        </row>
        <row r="21">
          <cell r="A21" t="str">
            <v>b</v>
          </cell>
          <cell r="B21" t="str">
            <v xml:space="preserve">                                                       **</v>
          </cell>
          <cell r="C21" t="str">
            <v>%</v>
          </cell>
          <cell r="D21">
            <v>16</v>
          </cell>
          <cell r="E21">
            <v>13.59</v>
          </cell>
          <cell r="F21">
            <v>16.079999999999998</v>
          </cell>
          <cell r="G21">
            <v>12.209376208374712</v>
          </cell>
          <cell r="H21">
            <v>12.6</v>
          </cell>
        </row>
        <row r="22">
          <cell r="A22">
            <v>8</v>
          </cell>
          <cell r="B22" t="str">
            <v xml:space="preserve">Forced   Outage   </v>
          </cell>
          <cell r="C22" t="str">
            <v>MU</v>
          </cell>
          <cell r="D22">
            <v>4054.2</v>
          </cell>
          <cell r="E22">
            <v>3528.19</v>
          </cell>
          <cell r="F22">
            <v>2780.85</v>
          </cell>
          <cell r="G22">
            <v>3161.67</v>
          </cell>
          <cell r="H22">
            <v>3281.99</v>
          </cell>
        </row>
        <row r="23">
          <cell r="A23" t="str">
            <v>a</v>
          </cell>
          <cell r="C23" t="str">
            <v>No</v>
          </cell>
          <cell r="D23">
            <v>838</v>
          </cell>
          <cell r="E23">
            <v>793</v>
          </cell>
          <cell r="F23">
            <v>756</v>
          </cell>
          <cell r="G23">
            <v>935</v>
          </cell>
          <cell r="H23">
            <v>1031</v>
          </cell>
        </row>
        <row r="24">
          <cell r="A24" t="str">
            <v>b</v>
          </cell>
          <cell r="B24" t="str">
            <v xml:space="preserve">                                                      **</v>
          </cell>
          <cell r="C24" t="str">
            <v>%</v>
          </cell>
          <cell r="D24">
            <v>17.079999999999998</v>
          </cell>
          <cell r="E24">
            <v>15.01</v>
          </cell>
          <cell r="F24">
            <v>11.88</v>
          </cell>
          <cell r="G24">
            <v>12.35</v>
          </cell>
          <cell r="H24">
            <v>12.08</v>
          </cell>
        </row>
        <row r="25">
          <cell r="A25" t="str">
            <v>c</v>
          </cell>
          <cell r="B25" t="str">
            <v>Boiler Tube Leakages</v>
          </cell>
          <cell r="C25" t="str">
            <v>MU</v>
          </cell>
          <cell r="D25">
            <v>1507</v>
          </cell>
          <cell r="E25">
            <v>1373.19</v>
          </cell>
          <cell r="F25">
            <v>1286</v>
          </cell>
          <cell r="G25">
            <v>1722</v>
          </cell>
          <cell r="H25">
            <v>2009.66</v>
          </cell>
        </row>
        <row r="26">
          <cell r="A26" t="str">
            <v>d</v>
          </cell>
          <cell r="C26" t="str">
            <v>No</v>
          </cell>
          <cell r="D26">
            <v>167</v>
          </cell>
          <cell r="E26">
            <v>188</v>
          </cell>
          <cell r="F26">
            <v>192</v>
          </cell>
          <cell r="G26">
            <v>240</v>
          </cell>
          <cell r="H26">
            <v>273</v>
          </cell>
        </row>
        <row r="27">
          <cell r="A27" t="str">
            <v>e</v>
          </cell>
          <cell r="C27" t="str">
            <v>%</v>
          </cell>
          <cell r="D27">
            <v>6.3955985380519014</v>
          </cell>
          <cell r="E27">
            <v>5.829559290259148</v>
          </cell>
          <cell r="F27">
            <v>5.4781122578512509</v>
          </cell>
          <cell r="G27">
            <v>6.4055165111673595</v>
          </cell>
          <cell r="H27">
            <v>7.398106058932755</v>
          </cell>
        </row>
        <row r="28">
          <cell r="A28">
            <v>9</v>
          </cell>
          <cell r="B28" t="str">
            <v>Total          Coal           Consumption</v>
          </cell>
          <cell r="C28" t="str">
            <v>1000MT</v>
          </cell>
          <cell r="D28">
            <v>9628</v>
          </cell>
          <cell r="E28">
            <v>10365</v>
          </cell>
          <cell r="F28">
            <v>10889.111999999999</v>
          </cell>
          <cell r="G28">
            <v>12127.994971999999</v>
          </cell>
          <cell r="H28">
            <v>13030.226000000001</v>
          </cell>
        </row>
        <row r="29">
          <cell r="A29">
            <v>10</v>
          </cell>
          <cell r="B29" t="str">
            <v xml:space="preserve">COST OF  Coal consumed @ Rs 800 /MT </v>
          </cell>
          <cell r="C29" t="str">
            <v>Cr Rs.</v>
          </cell>
          <cell r="D29">
            <v>770.24</v>
          </cell>
          <cell r="E29">
            <v>829.2</v>
          </cell>
          <cell r="F29">
            <v>871.12896000000001</v>
          </cell>
          <cell r="G29">
            <v>970.23959775999992</v>
          </cell>
          <cell r="H29">
            <v>1042.4180799999999</v>
          </cell>
        </row>
        <row r="30">
          <cell r="A30">
            <v>11</v>
          </cell>
          <cell r="B30" t="str">
            <v>Specific    Coal           Consumption</v>
          </cell>
          <cell r="C30" t="str">
            <v>Kg/Kwh</v>
          </cell>
          <cell r="D30">
            <v>0.83</v>
          </cell>
          <cell r="E30">
            <v>0.8</v>
          </cell>
          <cell r="F30">
            <v>0.81679632209152919</v>
          </cell>
          <cell r="G30">
            <v>0.82050145151015585</v>
          </cell>
          <cell r="H30">
            <v>0.81</v>
          </cell>
        </row>
        <row r="31">
          <cell r="A31">
            <v>12</v>
          </cell>
          <cell r="B31" t="str">
            <v>Total          Fuel Oil     Consumption</v>
          </cell>
          <cell r="C31" t="str">
            <v>1000KL</v>
          </cell>
          <cell r="D31">
            <v>147</v>
          </cell>
          <cell r="E31">
            <v>178</v>
          </cell>
          <cell r="F31">
            <v>144.66900000000001</v>
          </cell>
          <cell r="G31">
            <v>185.24459685843499</v>
          </cell>
          <cell r="H31">
            <v>124.101</v>
          </cell>
        </row>
        <row r="32">
          <cell r="A32">
            <v>13</v>
          </cell>
          <cell r="B32" t="str">
            <v>COST OF  Fuel oil consumed  @ Rs 7500 per MT</v>
          </cell>
          <cell r="C32" t="str">
            <v>Cr Rs.</v>
          </cell>
          <cell r="D32">
            <v>110.25</v>
          </cell>
          <cell r="E32">
            <v>133.5</v>
          </cell>
          <cell r="F32">
            <v>108.50174999999999</v>
          </cell>
          <cell r="G32">
            <v>138.93344764382627</v>
          </cell>
          <cell r="H32">
            <v>93.075749999999999</v>
          </cell>
        </row>
        <row r="33">
          <cell r="A33">
            <v>14</v>
          </cell>
          <cell r="B33" t="str">
            <v xml:space="preserve">Specific    Fuel Oil      Consumption </v>
          </cell>
          <cell r="C33" t="str">
            <v>ml/Kwh</v>
          </cell>
          <cell r="D33">
            <v>12.72</v>
          </cell>
          <cell r="E33">
            <v>14.43</v>
          </cell>
          <cell r="F33">
            <v>10.851675244102497</v>
          </cell>
          <cell r="G33">
            <v>12.532447528026529</v>
          </cell>
          <cell r="H33">
            <v>7.72</v>
          </cell>
        </row>
        <row r="34">
          <cell r="A34">
            <v>15</v>
          </cell>
          <cell r="B34" t="str">
            <v>Cost of  Fuels  per  Kwh  Generated</v>
          </cell>
          <cell r="C34" t="str">
            <v>Paise</v>
          </cell>
          <cell r="D34">
            <v>76.035931163600438</v>
          </cell>
          <cell r="E34">
            <v>77.868189465510554</v>
          </cell>
          <cell r="F34">
            <v>73.482462200399212</v>
          </cell>
          <cell r="G34">
            <v>75.039451766832357</v>
          </cell>
          <cell r="H34">
            <v>70.653294838330311</v>
          </cell>
        </row>
        <row r="35">
          <cell r="A35">
            <v>16</v>
          </cell>
          <cell r="B35" t="str">
            <v>Thermal  Auxiliary Consumption   Total</v>
          </cell>
          <cell r="C35" t="str">
            <v>MU</v>
          </cell>
          <cell r="D35">
            <v>1235.3499999999999</v>
          </cell>
          <cell r="E35">
            <v>1288.0999999999999</v>
          </cell>
          <cell r="F35">
            <v>1394.5</v>
          </cell>
          <cell r="G35">
            <v>1558.7317929999999</v>
          </cell>
          <cell r="H35">
            <v>1648.2</v>
          </cell>
        </row>
        <row r="36">
          <cell r="A36">
            <v>17</v>
          </cell>
          <cell r="B36" t="str">
            <v>Thermal  Auxiliary Consumption   Percentage</v>
          </cell>
          <cell r="C36" t="str">
            <v>%</v>
          </cell>
          <cell r="D36">
            <v>10.67</v>
          </cell>
          <cell r="E36">
            <v>10.4</v>
          </cell>
          <cell r="F36">
            <v>10.449094587326698</v>
          </cell>
          <cell r="G36">
            <v>10.545367982294113</v>
          </cell>
          <cell r="H36">
            <v>10.255516804748822</v>
          </cell>
        </row>
        <row r="37">
          <cell r="A37">
            <v>18</v>
          </cell>
          <cell r="B37" t="str">
            <v>Cost of  Fuels  per  Kwh  sent out</v>
          </cell>
          <cell r="C37" t="str">
            <v>Paise</v>
          </cell>
          <cell r="D37">
            <v>85.116152725536196</v>
          </cell>
          <cell r="E37">
            <v>86.924723027331581</v>
          </cell>
          <cell r="F37">
            <v>82.066811650173122</v>
          </cell>
          <cell r="G37">
            <v>83.885484825402543</v>
          </cell>
          <cell r="H37">
            <v>78.727173328988457</v>
          </cell>
        </row>
        <row r="38">
          <cell r="A38" t="str">
            <v>Note :-</v>
          </cell>
        </row>
        <row r="39">
          <cell r="A39">
            <v>1</v>
          </cell>
          <cell r="B39" t="str">
            <v>In 1994-95 &amp;1999-2000specific oil consumption is more due to stablisation of both units of Sanjay Gandhi thermal Power Station.</v>
          </cell>
        </row>
        <row r="40">
          <cell r="A40">
            <v>2</v>
          </cell>
          <cell r="B40" t="str">
            <v xml:space="preserve"> Heavy and unprcedented rains all over resulting in wet coal problems in thermal stations.</v>
          </cell>
        </row>
        <row r="41">
          <cell r="A41">
            <v>3</v>
          </cell>
          <cell r="B41" t="str">
            <v>Considering SGTPS # 1 wef :  01.01.95  , # 2 wef : 01.04.95 ,.# 3 w.e.f : 01.09.99&amp; # 4 w.e.f : 01.04.2000.</v>
          </cell>
        </row>
        <row r="42">
          <cell r="A42">
            <v>4</v>
          </cell>
          <cell r="B42" t="str">
            <v>Considering  Cost of Coal &amp; Fuel oil same for all the  years for comparision purpose .                                         .</v>
          </cell>
        </row>
        <row r="43">
          <cell r="A43">
            <v>5</v>
          </cell>
          <cell r="B43" t="str">
            <v>Totals  may  not  tally  due  to  rounding  off.</v>
          </cell>
        </row>
        <row r="45">
          <cell r="A45" t="str">
            <v>EXECUTIVE SUMMARY</v>
          </cell>
        </row>
        <row r="46">
          <cell r="A46" t="str">
            <v>96-97 to 00-01</v>
          </cell>
        </row>
        <row r="47">
          <cell r="A47" t="str">
            <v>THERMAL GENETRATION</v>
          </cell>
        </row>
        <row r="48">
          <cell r="A48" t="str">
            <v/>
          </cell>
          <cell r="B48" t="str">
            <v>P A R T I C U L A R S</v>
          </cell>
          <cell r="D48" t="str">
            <v>96-97</v>
          </cell>
          <cell r="E48" t="str">
            <v>97-98</v>
          </cell>
          <cell r="F48" t="str">
            <v>98-99</v>
          </cell>
          <cell r="G48" t="str">
            <v>99-00</v>
          </cell>
          <cell r="H48" t="str">
            <v>00-01</v>
          </cell>
        </row>
        <row r="49">
          <cell r="A49">
            <v>1</v>
          </cell>
          <cell r="B49" t="str">
            <v>Thermal  Generation (Including 100 % Satpura )</v>
          </cell>
          <cell r="C49" t="str">
            <v>MU</v>
          </cell>
          <cell r="D49">
            <v>16866.97</v>
          </cell>
          <cell r="E49">
            <v>17966.7</v>
          </cell>
          <cell r="F49">
            <v>18471.39</v>
          </cell>
          <cell r="G49">
            <v>20146.419999999998</v>
          </cell>
          <cell r="H49">
            <v>20415.89</v>
          </cell>
        </row>
        <row r="50">
          <cell r="A50">
            <v>2</v>
          </cell>
          <cell r="B50" t="str">
            <v xml:space="preserve">Plan Target    </v>
          </cell>
          <cell r="C50" t="str">
            <v>MU</v>
          </cell>
          <cell r="D50">
            <v>16950</v>
          </cell>
          <cell r="E50">
            <v>17200</v>
          </cell>
          <cell r="F50">
            <v>17500</v>
          </cell>
          <cell r="G50">
            <v>19010</v>
          </cell>
          <cell r="H50">
            <v>21860</v>
          </cell>
        </row>
        <row r="51">
          <cell r="A51">
            <v>3</v>
          </cell>
          <cell r="B51" t="str">
            <v>ACHIEVEMENT Percentage of ( 2 )</v>
          </cell>
          <cell r="C51" t="str">
            <v>%</v>
          </cell>
          <cell r="D51">
            <v>99.510147492625364</v>
          </cell>
          <cell r="E51">
            <v>104.45755813953488</v>
          </cell>
          <cell r="F51">
            <v>105.5508</v>
          </cell>
          <cell r="G51">
            <v>105.97801157285637</v>
          </cell>
          <cell r="H51">
            <v>93.393824336688013</v>
          </cell>
        </row>
        <row r="52">
          <cell r="A52">
            <v>4</v>
          </cell>
          <cell r="B52" t="str">
            <v>Plant    Utilisation    Factor            **</v>
          </cell>
          <cell r="C52" t="str">
            <v>%</v>
          </cell>
          <cell r="D52">
            <v>62.26</v>
          </cell>
          <cell r="E52">
            <v>66.319999999999993</v>
          </cell>
          <cell r="F52">
            <v>68.180000000000007</v>
          </cell>
          <cell r="G52">
            <v>69.42</v>
          </cell>
          <cell r="H52">
            <v>66.349999999999994</v>
          </cell>
        </row>
        <row r="53">
          <cell r="A53">
            <v>5</v>
          </cell>
          <cell r="B53" t="str">
            <v>Plant    Availibility   Factor              **</v>
          </cell>
          <cell r="C53" t="str">
            <v>%</v>
          </cell>
          <cell r="D53">
            <v>74.900000000000006</v>
          </cell>
          <cell r="E53">
            <v>76.290000000000006</v>
          </cell>
          <cell r="F53">
            <v>77.22</v>
          </cell>
          <cell r="G53">
            <v>79.09</v>
          </cell>
          <cell r="H53">
            <v>77.67</v>
          </cell>
        </row>
        <row r="54">
          <cell r="A54">
            <v>6</v>
          </cell>
          <cell r="B54" t="str">
            <v>Partial  Unavailability Factor         **</v>
          </cell>
          <cell r="C54" t="str">
            <v>%</v>
          </cell>
          <cell r="D54">
            <v>12.64</v>
          </cell>
          <cell r="E54">
            <v>9.9700000000000006</v>
          </cell>
          <cell r="F54">
            <v>9.0399999999999991</v>
          </cell>
          <cell r="G54">
            <v>9.67</v>
          </cell>
          <cell r="H54">
            <v>11.32</v>
          </cell>
        </row>
        <row r="55">
          <cell r="A55" t="str">
            <v>a</v>
          </cell>
          <cell r="B55" t="str">
            <v>Main Boiler</v>
          </cell>
          <cell r="C55" t="str">
            <v>%</v>
          </cell>
          <cell r="D55">
            <v>1.4</v>
          </cell>
          <cell r="E55">
            <v>1.17</v>
          </cell>
          <cell r="F55">
            <v>1.91</v>
          </cell>
          <cell r="G55">
            <v>2.62</v>
          </cell>
          <cell r="H55">
            <v>4061.5740000000001</v>
          </cell>
        </row>
        <row r="56">
          <cell r="A56" t="str">
            <v>b</v>
          </cell>
          <cell r="B56" t="str">
            <v>Boiler Auxiliaries(Mainly Mills)</v>
          </cell>
          <cell r="C56" t="str">
            <v>%</v>
          </cell>
          <cell r="D56">
            <v>4.9000000000000004</v>
          </cell>
          <cell r="E56">
            <v>3.07</v>
          </cell>
          <cell r="F56">
            <v>1.57</v>
          </cell>
          <cell r="G56">
            <v>1.89</v>
          </cell>
          <cell r="H56">
            <v>25</v>
          </cell>
        </row>
        <row r="57">
          <cell r="A57" t="str">
            <v>c</v>
          </cell>
          <cell r="B57" t="str">
            <v>Turbine</v>
          </cell>
          <cell r="C57" t="str">
            <v>%</v>
          </cell>
          <cell r="D57">
            <v>1.1000000000000001</v>
          </cell>
          <cell r="E57">
            <v>0.98</v>
          </cell>
          <cell r="F57">
            <v>1.42</v>
          </cell>
          <cell r="G57">
            <v>1.06</v>
          </cell>
          <cell r="H57">
            <v>13.2</v>
          </cell>
        </row>
        <row r="58">
          <cell r="A58" t="str">
            <v>d</v>
          </cell>
          <cell r="B58" t="str">
            <v>Turbine Auxiliaries</v>
          </cell>
          <cell r="C58" t="str">
            <v>%</v>
          </cell>
          <cell r="D58">
            <v>0.9</v>
          </cell>
          <cell r="E58">
            <v>0.49</v>
          </cell>
          <cell r="F58">
            <v>0.42</v>
          </cell>
          <cell r="G58">
            <v>0.63</v>
          </cell>
          <cell r="H58">
            <v>2808.83</v>
          </cell>
        </row>
        <row r="59">
          <cell r="A59" t="str">
            <v>e</v>
          </cell>
          <cell r="B59" t="str">
            <v>Generator</v>
          </cell>
          <cell r="C59" t="str">
            <v>%</v>
          </cell>
          <cell r="D59">
            <v>0.3</v>
          </cell>
          <cell r="E59">
            <v>0.27</v>
          </cell>
          <cell r="F59">
            <v>0.2</v>
          </cell>
          <cell r="G59">
            <v>0.48</v>
          </cell>
          <cell r="H59">
            <v>669</v>
          </cell>
        </row>
        <row r="60">
          <cell r="A60" t="str">
            <v>f</v>
          </cell>
          <cell r="B60" t="str">
            <v>Electrical</v>
          </cell>
          <cell r="C60" t="str">
            <v>%</v>
          </cell>
          <cell r="D60">
            <v>0.8</v>
          </cell>
          <cell r="E60">
            <v>1.96</v>
          </cell>
          <cell r="F60">
            <v>2.1</v>
          </cell>
          <cell r="G60">
            <v>0.81</v>
          </cell>
          <cell r="H60">
            <v>9.1300000000000008</v>
          </cell>
        </row>
        <row r="61">
          <cell r="A61" t="str">
            <v>g</v>
          </cell>
          <cell r="B61" t="str">
            <v>Coal related (Quality ,Quantity ,Handling ,wet coal)</v>
          </cell>
          <cell r="C61" t="str">
            <v>%</v>
          </cell>
          <cell r="D61">
            <v>3.3</v>
          </cell>
          <cell r="E61">
            <v>2.4900000000000002</v>
          </cell>
          <cell r="F61">
            <v>1.19</v>
          </cell>
          <cell r="G61">
            <v>1.6</v>
          </cell>
          <cell r="H61">
            <v>1426.91</v>
          </cell>
        </row>
        <row r="62">
          <cell r="A62" t="str">
            <v>h</v>
          </cell>
          <cell r="B62" t="str">
            <v>Others</v>
          </cell>
          <cell r="C62" t="str">
            <v>%</v>
          </cell>
          <cell r="D62">
            <v>0.1</v>
          </cell>
          <cell r="E62">
            <v>0</v>
          </cell>
          <cell r="F62">
            <v>0</v>
          </cell>
          <cell r="G62">
            <v>0.2</v>
          </cell>
          <cell r="H62">
            <v>157</v>
          </cell>
        </row>
        <row r="63">
          <cell r="A63">
            <v>7</v>
          </cell>
          <cell r="B63" t="str">
            <v xml:space="preserve">Planned  Outage         Rate          </v>
          </cell>
          <cell r="C63" t="str">
            <v>MU</v>
          </cell>
          <cell r="D63">
            <v>4231.29</v>
          </cell>
          <cell r="E63">
            <v>3432.3410099999996</v>
          </cell>
          <cell r="F63">
            <v>3544</v>
          </cell>
          <cell r="G63">
            <v>3784.7</v>
          </cell>
          <cell r="H63">
            <v>4061.5740000000001</v>
          </cell>
        </row>
        <row r="64">
          <cell r="A64" t="str">
            <v>a</v>
          </cell>
          <cell r="C64" t="str">
            <v>No</v>
          </cell>
          <cell r="D64">
            <v>24</v>
          </cell>
          <cell r="E64">
            <v>24</v>
          </cell>
          <cell r="F64">
            <v>20</v>
          </cell>
          <cell r="G64">
            <v>24</v>
          </cell>
          <cell r="H64">
            <v>24</v>
          </cell>
        </row>
        <row r="65">
          <cell r="A65" t="str">
            <v>b</v>
          </cell>
          <cell r="B65" t="str">
            <v xml:space="preserve">                                                       **</v>
          </cell>
          <cell r="C65" t="str">
            <v>%</v>
          </cell>
          <cell r="D65">
            <v>15.62</v>
          </cell>
          <cell r="E65">
            <v>12.67</v>
          </cell>
          <cell r="F65">
            <v>13.08</v>
          </cell>
          <cell r="G65">
            <v>13.05</v>
          </cell>
          <cell r="H65">
            <v>13.2</v>
          </cell>
        </row>
        <row r="66">
          <cell r="A66">
            <v>8</v>
          </cell>
          <cell r="B66" t="str">
            <v xml:space="preserve">Forced   Outage   </v>
          </cell>
          <cell r="C66" t="str">
            <v>MU</v>
          </cell>
          <cell r="D66">
            <v>2568.61</v>
          </cell>
          <cell r="E66">
            <v>2988.0600899999995</v>
          </cell>
          <cell r="F66">
            <v>2626.63</v>
          </cell>
          <cell r="G66">
            <v>2200.5</v>
          </cell>
          <cell r="H66">
            <v>4061.5740000000001</v>
          </cell>
        </row>
        <row r="67">
          <cell r="A67" t="str">
            <v>a</v>
          </cell>
          <cell r="C67" t="str">
            <v>No</v>
          </cell>
          <cell r="D67">
            <v>679</v>
          </cell>
          <cell r="E67">
            <v>662</v>
          </cell>
          <cell r="F67">
            <v>618</v>
          </cell>
          <cell r="G67">
            <v>570</v>
          </cell>
          <cell r="H67">
            <v>669</v>
          </cell>
        </row>
        <row r="68">
          <cell r="A68" t="str">
            <v>b</v>
          </cell>
          <cell r="B68" t="str">
            <v xml:space="preserve">                                                      **</v>
          </cell>
          <cell r="C68" t="str">
            <v>%</v>
          </cell>
          <cell r="D68">
            <v>9.48</v>
          </cell>
          <cell r="E68">
            <v>11.03</v>
          </cell>
          <cell r="F68">
            <v>9.69</v>
          </cell>
          <cell r="G68">
            <v>7.84</v>
          </cell>
          <cell r="H68">
            <v>9.1300000000000008</v>
          </cell>
        </row>
        <row r="69">
          <cell r="A69" t="str">
            <v>c</v>
          </cell>
          <cell r="B69" t="str">
            <v>Boiler Tube Leakages</v>
          </cell>
          <cell r="C69" t="str">
            <v>MU</v>
          </cell>
          <cell r="D69">
            <v>1719</v>
          </cell>
          <cell r="E69">
            <v>1560.40128</v>
          </cell>
          <cell r="F69">
            <v>1408.83</v>
          </cell>
          <cell r="G69">
            <v>1466.97</v>
          </cell>
          <cell r="H69">
            <v>1426.91</v>
          </cell>
        </row>
        <row r="70">
          <cell r="A70" t="str">
            <v>d</v>
          </cell>
          <cell r="C70" t="str">
            <v>No</v>
          </cell>
          <cell r="D70">
            <v>185</v>
          </cell>
          <cell r="E70">
            <v>197</v>
          </cell>
          <cell r="F70">
            <v>191</v>
          </cell>
          <cell r="G70">
            <v>184</v>
          </cell>
          <cell r="H70">
            <v>157</v>
          </cell>
        </row>
        <row r="71">
          <cell r="A71" t="str">
            <v>e</v>
          </cell>
          <cell r="C71" t="str">
            <v>%</v>
          </cell>
          <cell r="D71">
            <v>6.34</v>
          </cell>
          <cell r="E71">
            <v>5.76</v>
          </cell>
          <cell r="F71">
            <v>5.2</v>
          </cell>
          <cell r="G71">
            <v>5.4</v>
          </cell>
          <cell r="H71">
            <v>4.6399999999999997</v>
          </cell>
        </row>
        <row r="72">
          <cell r="A72">
            <v>9</v>
          </cell>
          <cell r="B72" t="str">
            <v>Total          Coal           Consumption</v>
          </cell>
          <cell r="C72" t="str">
            <v>1000MT</v>
          </cell>
          <cell r="D72">
            <v>13482.3</v>
          </cell>
          <cell r="E72">
            <v>14265.226000000001</v>
          </cell>
          <cell r="F72">
            <v>14547.769</v>
          </cell>
          <cell r="G72">
            <v>15648.859</v>
          </cell>
          <cell r="H72">
            <v>16020.288</v>
          </cell>
        </row>
        <row r="73">
          <cell r="A73">
            <v>10</v>
          </cell>
          <cell r="B73" t="str">
            <v xml:space="preserve">COST OF  Coal consumed @ Rs 800 /MT </v>
          </cell>
          <cell r="C73" t="str">
            <v>Cr Rs.</v>
          </cell>
          <cell r="D73">
            <v>1078.5840000000001</v>
          </cell>
          <cell r="E73">
            <v>1141.2180800000001</v>
          </cell>
          <cell r="F73">
            <v>1163.82152</v>
          </cell>
          <cell r="G73">
            <v>1251.9087200000001</v>
          </cell>
          <cell r="H73">
            <v>1281.6230399999999</v>
          </cell>
        </row>
        <row r="74">
          <cell r="A74">
            <v>11</v>
          </cell>
          <cell r="B74" t="str">
            <v>Specific    Coal           Consumption</v>
          </cell>
          <cell r="C74" t="str">
            <v>Kg/Kwh</v>
          </cell>
          <cell r="D74">
            <v>0.8</v>
          </cell>
          <cell r="E74">
            <v>0.79</v>
          </cell>
          <cell r="F74">
            <v>0.79</v>
          </cell>
          <cell r="G74">
            <v>0.78</v>
          </cell>
          <cell r="H74">
            <v>0.78</v>
          </cell>
        </row>
        <row r="75">
          <cell r="A75">
            <v>12</v>
          </cell>
          <cell r="B75" t="str">
            <v>Total          Fuel Oil     Consumption</v>
          </cell>
          <cell r="C75" t="str">
            <v>1000KL</v>
          </cell>
          <cell r="D75">
            <v>86.83</v>
          </cell>
          <cell r="E75">
            <v>66.355000000000004</v>
          </cell>
          <cell r="F75">
            <v>51.347000000000001</v>
          </cell>
          <cell r="G75">
            <v>58.731999999999999</v>
          </cell>
          <cell r="H75">
            <v>65.579260000000005</v>
          </cell>
        </row>
        <row r="76">
          <cell r="A76">
            <v>13</v>
          </cell>
          <cell r="B76" t="str">
            <v>COST OF  Fuel oil consumed  @ Rs 7500 per MT</v>
          </cell>
          <cell r="C76" t="str">
            <v>Cr Rs.</v>
          </cell>
          <cell r="D76">
            <v>65.122500000000002</v>
          </cell>
          <cell r="E76">
            <v>49.766250000000007</v>
          </cell>
          <cell r="F76">
            <v>38.510250000000006</v>
          </cell>
          <cell r="G76">
            <v>44.048999999999999</v>
          </cell>
          <cell r="H76">
            <v>49.184445000000004</v>
          </cell>
        </row>
        <row r="77">
          <cell r="A77">
            <v>14</v>
          </cell>
          <cell r="B77" t="str">
            <v xml:space="preserve">Specific    Fuel Oil      Consumption </v>
          </cell>
          <cell r="C77" t="str">
            <v>ml/Kwh</v>
          </cell>
          <cell r="D77">
            <v>5.15</v>
          </cell>
          <cell r="E77">
            <v>3.69</v>
          </cell>
          <cell r="F77">
            <v>2.78</v>
          </cell>
          <cell r="G77">
            <v>2.29</v>
          </cell>
          <cell r="H77">
            <v>3.22</v>
          </cell>
        </row>
        <row r="78">
          <cell r="A78">
            <v>15</v>
          </cell>
          <cell r="B78" t="str">
            <v>Cost of  Fuels  per  Kwh  Generated</v>
          </cell>
          <cell r="C78" t="str">
            <v>Paise</v>
          </cell>
          <cell r="D78">
            <v>67.807466308412231</v>
          </cell>
          <cell r="E78">
            <v>66.288429706067333</v>
          </cell>
          <cell r="F78">
            <v>65.091569719441793</v>
          </cell>
          <cell r="G78">
            <v>64.326948410685389</v>
          </cell>
          <cell r="H78">
            <v>65.184887114889449</v>
          </cell>
        </row>
        <row r="79">
          <cell r="A79">
            <v>16</v>
          </cell>
          <cell r="B79" t="str">
            <v>Thermal  Auxiliary Consumption   Total</v>
          </cell>
          <cell r="C79" t="str">
            <v>MU</v>
          </cell>
          <cell r="D79">
            <v>1650.79</v>
          </cell>
          <cell r="E79">
            <v>1766.22</v>
          </cell>
          <cell r="F79">
            <v>1783.99</v>
          </cell>
          <cell r="G79">
            <v>1952.78</v>
          </cell>
          <cell r="H79">
            <v>1982.05</v>
          </cell>
        </row>
        <row r="80">
          <cell r="A80">
            <v>17</v>
          </cell>
          <cell r="B80" t="str">
            <v>Thermal  Auxiliary Consumption   Percentage</v>
          </cell>
          <cell r="C80" t="str">
            <v>%</v>
          </cell>
          <cell r="D80">
            <v>9.7871164767590138</v>
          </cell>
          <cell r="E80">
            <v>9.8305197949539984</v>
          </cell>
          <cell r="F80">
            <v>9.66</v>
          </cell>
          <cell r="G80">
            <v>9.69</v>
          </cell>
          <cell r="H80">
            <v>9.7100000000000009</v>
          </cell>
        </row>
        <row r="81">
          <cell r="A81">
            <v>18</v>
          </cell>
          <cell r="B81" t="str">
            <v>Cost of  Fuels  per  Kwh  sent out</v>
          </cell>
          <cell r="C81" t="str">
            <v>Paise</v>
          </cell>
          <cell r="D81">
            <v>75.163838755850691</v>
          </cell>
          <cell r="E81">
            <v>73.515373001293781</v>
          </cell>
          <cell r="F81">
            <v>72.050275657082594</v>
          </cell>
          <cell r="G81">
            <v>71.231359969747686</v>
          </cell>
          <cell r="H81">
            <v>72.193720082196648</v>
          </cell>
        </row>
        <row r="82">
          <cell r="A82" t="str">
            <v>Note :-</v>
          </cell>
        </row>
        <row r="83">
          <cell r="A83">
            <v>1</v>
          </cell>
          <cell r="B83" t="str">
            <v>In 1994-95 &amp;1999-2000specific oil consumption is more due to stablisation of both units of Sanjay Gandhi thermal Power Station.</v>
          </cell>
        </row>
        <row r="84">
          <cell r="A84">
            <v>2</v>
          </cell>
          <cell r="B84" t="str">
            <v xml:space="preserve"> Heavy and unprcedented rains all over resulting in wet coal problems in thermal stations.</v>
          </cell>
          <cell r="F84" t="str">
            <v/>
          </cell>
        </row>
        <row r="85">
          <cell r="A85">
            <v>3</v>
          </cell>
          <cell r="B85" t="str">
            <v>Considering SGTPS # 1 wef :  01.01.95  , # 2 wef : 01.04.95 ,.# 3 w.e.f : 01.09.99&amp; # 4 w.e.f : 01.04.2000.</v>
          </cell>
        </row>
        <row r="86">
          <cell r="A86">
            <v>4</v>
          </cell>
          <cell r="B86" t="str">
            <v>Considering  Cost of Coal &amp; Fuel oil same for all the  years for comparision purpose .                                         .</v>
          </cell>
          <cell r="E86" t="str">
            <v/>
          </cell>
        </row>
        <row r="87">
          <cell r="A87">
            <v>5</v>
          </cell>
          <cell r="B87" t="str">
            <v>Totals  may  not  tally  due  to  rounding  off.</v>
          </cell>
        </row>
        <row r="89">
          <cell r="A89" t="str">
            <v>EXECUTIVE SUMMARY</v>
          </cell>
        </row>
        <row r="90">
          <cell r="A90" t="str">
            <v>91-92 to 95-96</v>
          </cell>
        </row>
        <row r="91">
          <cell r="A91" t="str">
            <v xml:space="preserve"> HYDEL GENETRATION</v>
          </cell>
        </row>
        <row r="92">
          <cell r="A92" t="str">
            <v/>
          </cell>
          <cell r="B92" t="str">
            <v>P A R T I C U L A R S</v>
          </cell>
          <cell r="D92" t="str">
            <v>91-92</v>
          </cell>
          <cell r="E92" t="str">
            <v>92-93</v>
          </cell>
          <cell r="F92" t="str">
            <v>93-94</v>
          </cell>
          <cell r="G92" t="str">
            <v>94-95</v>
          </cell>
          <cell r="H92" t="str">
            <v xml:space="preserve">95-96 </v>
          </cell>
        </row>
        <row r="93">
          <cell r="A93">
            <v>1</v>
          </cell>
          <cell r="B93" t="str">
            <v>Hydel Generation(G'sagar+Pench+Bargi+Tons+ B'pur+HB))</v>
          </cell>
          <cell r="C93" t="str">
            <v>MU</v>
          </cell>
          <cell r="D93">
            <v>1324.15</v>
          </cell>
          <cell r="E93">
            <v>1295.48</v>
          </cell>
          <cell r="F93">
            <v>1589.68</v>
          </cell>
          <cell r="G93">
            <v>2280.4742339999998</v>
          </cell>
          <cell r="H93">
            <v>2141.34</v>
          </cell>
        </row>
        <row r="94">
          <cell r="A94">
            <v>2</v>
          </cell>
          <cell r="B94" t="str">
            <v xml:space="preserve">Target (PLAN )   </v>
          </cell>
          <cell r="C94" t="str">
            <v>MU</v>
          </cell>
          <cell r="D94">
            <v>1771</v>
          </cell>
          <cell r="E94">
            <v>1870</v>
          </cell>
          <cell r="F94">
            <v>1870</v>
          </cell>
          <cell r="G94">
            <v>1965</v>
          </cell>
          <cell r="H94">
            <v>2035</v>
          </cell>
        </row>
        <row r="95">
          <cell r="A95">
            <v>3</v>
          </cell>
          <cell r="B95" t="str">
            <v>ACHIEVEMENT Percentage of ( 2 )</v>
          </cell>
          <cell r="C95" t="str">
            <v>%</v>
          </cell>
          <cell r="D95">
            <v>74.768492377188025</v>
          </cell>
          <cell r="E95">
            <v>69.277005347593587</v>
          </cell>
          <cell r="F95">
            <v>85.009625668449203</v>
          </cell>
          <cell r="G95">
            <v>116.05466839694657</v>
          </cell>
          <cell r="H95">
            <v>105.23</v>
          </cell>
        </row>
        <row r="96">
          <cell r="A96">
            <v>4</v>
          </cell>
          <cell r="B96" t="str">
            <v>Hydel Generation M.P.Share</v>
          </cell>
          <cell r="C96" t="str">
            <v>MU</v>
          </cell>
          <cell r="D96">
            <v>1498.64</v>
          </cell>
          <cell r="E96">
            <v>1511.19</v>
          </cell>
          <cell r="F96">
            <v>1658.26</v>
          </cell>
          <cell r="G96">
            <v>2415.3094620000002</v>
          </cell>
          <cell r="H96">
            <v>2253.15</v>
          </cell>
        </row>
        <row r="97">
          <cell r="A97">
            <v>5</v>
          </cell>
          <cell r="B97" t="str">
            <v xml:space="preserve">Target (PLAN )   </v>
          </cell>
          <cell r="C97" t="str">
            <v>MU</v>
          </cell>
          <cell r="D97">
            <v>1846</v>
          </cell>
          <cell r="E97">
            <v>1938</v>
          </cell>
          <cell r="F97">
            <v>1990</v>
          </cell>
          <cell r="G97">
            <v>1999.9666666666667</v>
          </cell>
          <cell r="H97">
            <v>2059.33</v>
          </cell>
        </row>
        <row r="98">
          <cell r="A98">
            <v>6</v>
          </cell>
          <cell r="B98" t="str">
            <v>ACHIEVEMENT Percentage of ( 5 )</v>
          </cell>
          <cell r="C98" t="str">
            <v>%</v>
          </cell>
          <cell r="D98">
            <v>81.183098591549296</v>
          </cell>
          <cell r="E98">
            <v>77.976780185758514</v>
          </cell>
          <cell r="F98">
            <v>83.32964824120603</v>
          </cell>
          <cell r="G98">
            <v>120.76748589143152</v>
          </cell>
          <cell r="H98">
            <v>109.41</v>
          </cell>
        </row>
        <row r="99">
          <cell r="A99">
            <v>7</v>
          </cell>
          <cell r="B99" t="str">
            <v xml:space="preserve">Reservoir Level at the end </v>
          </cell>
        </row>
        <row r="100">
          <cell r="A100" t="str">
            <v>a</v>
          </cell>
          <cell r="B100" t="str">
            <v>GANDHISAGAR     MDDL   1250.00 Ft</v>
          </cell>
          <cell r="C100" t="str">
            <v>FT</v>
          </cell>
          <cell r="D100">
            <v>1284.51</v>
          </cell>
          <cell r="E100">
            <v>1253.47</v>
          </cell>
          <cell r="F100">
            <v>1250.8900000000001</v>
          </cell>
          <cell r="G100">
            <v>1295.67</v>
          </cell>
          <cell r="H100">
            <v>1288.95</v>
          </cell>
        </row>
        <row r="101">
          <cell r="A101" t="str">
            <v/>
          </cell>
          <cell r="B101" t="str">
            <v>Energy   Contents   in   MKwh</v>
          </cell>
          <cell r="C101" t="str">
            <v>MU</v>
          </cell>
          <cell r="D101">
            <v>245</v>
          </cell>
          <cell r="E101">
            <v>14.5</v>
          </cell>
          <cell r="F101">
            <v>3.56</v>
          </cell>
          <cell r="G101">
            <v>408.4</v>
          </cell>
          <cell r="H101">
            <v>310</v>
          </cell>
        </row>
        <row r="102">
          <cell r="A102" t="str">
            <v>b</v>
          </cell>
          <cell r="B102" t="str">
            <v>PENCH           MDDL    464.50 M</v>
          </cell>
          <cell r="C102" t="str">
            <v>M</v>
          </cell>
          <cell r="D102">
            <v>464.42</v>
          </cell>
          <cell r="E102">
            <v>474.87</v>
          </cell>
          <cell r="F102">
            <v>483.64</v>
          </cell>
          <cell r="G102">
            <v>482.5</v>
          </cell>
          <cell r="H102">
            <v>472.9</v>
          </cell>
        </row>
        <row r="103">
          <cell r="A103" t="str">
            <v/>
          </cell>
          <cell r="B103" t="str">
            <v>Energy   Contents   in   MKwh</v>
          </cell>
          <cell r="C103" t="str">
            <v>MU</v>
          </cell>
          <cell r="D103">
            <v>2.5</v>
          </cell>
          <cell r="E103">
            <v>83</v>
          </cell>
          <cell r="F103">
            <v>222.16</v>
          </cell>
          <cell r="G103">
            <v>202</v>
          </cell>
          <cell r="H103">
            <v>63</v>
          </cell>
        </row>
        <row r="104">
          <cell r="A104" t="str">
            <v>c</v>
          </cell>
          <cell r="B104" t="str">
            <v>BARGI           MDDL    403.50 M</v>
          </cell>
          <cell r="C104" t="str">
            <v>M</v>
          </cell>
          <cell r="D104">
            <v>409</v>
          </cell>
          <cell r="E104">
            <v>414.4</v>
          </cell>
          <cell r="F104">
            <v>413.55</v>
          </cell>
          <cell r="G104">
            <v>418.15</v>
          </cell>
          <cell r="H104">
            <v>411.8</v>
          </cell>
        </row>
        <row r="105">
          <cell r="A105" t="str">
            <v/>
          </cell>
          <cell r="B105" t="str">
            <v>Energy   Contents   in   MKwh</v>
          </cell>
          <cell r="C105" t="str">
            <v>MU</v>
          </cell>
          <cell r="D105">
            <v>44</v>
          </cell>
          <cell r="E105">
            <v>113</v>
          </cell>
          <cell r="F105">
            <v>100.15</v>
          </cell>
          <cell r="G105">
            <v>192.75</v>
          </cell>
          <cell r="H105">
            <v>77</v>
          </cell>
        </row>
        <row r="106">
          <cell r="A106" t="str">
            <v>d</v>
          </cell>
          <cell r="B106" t="str">
            <v>TONS            MDDL    275.00 M</v>
          </cell>
          <cell r="C106" t="str">
            <v>M</v>
          </cell>
          <cell r="F106">
            <v>277.10000000000002</v>
          </cell>
          <cell r="G106">
            <v>277.3</v>
          </cell>
          <cell r="H106">
            <v>277.3</v>
          </cell>
        </row>
        <row r="107">
          <cell r="A107" t="str">
            <v/>
          </cell>
          <cell r="B107" t="str">
            <v>Energy   Contents   in   MKwh</v>
          </cell>
          <cell r="C107" t="str">
            <v>MU</v>
          </cell>
          <cell r="F107">
            <v>1.1279999999999999</v>
          </cell>
          <cell r="G107">
            <v>0</v>
          </cell>
          <cell r="H107">
            <v>0</v>
          </cell>
        </row>
        <row r="108">
          <cell r="A108" t="str">
            <v>e</v>
          </cell>
          <cell r="B108" t="str">
            <v>BIRSINGHPUR     MDDL    471.00 M</v>
          </cell>
          <cell r="C108" t="str">
            <v>M</v>
          </cell>
          <cell r="F108">
            <v>475.97</v>
          </cell>
          <cell r="G108">
            <v>475.1</v>
          </cell>
          <cell r="H108">
            <v>475.34</v>
          </cell>
        </row>
        <row r="109">
          <cell r="A109" t="str">
            <v/>
          </cell>
          <cell r="B109" t="str">
            <v>Energy   Contents   in   MKwh</v>
          </cell>
          <cell r="C109" t="str">
            <v>MU</v>
          </cell>
          <cell r="F109">
            <v>4.7477</v>
          </cell>
          <cell r="G109">
            <v>4.5209999999999999</v>
          </cell>
          <cell r="H109">
            <v>4.5</v>
          </cell>
        </row>
        <row r="110">
          <cell r="A110" t="str">
            <v>f</v>
          </cell>
          <cell r="B110" t="str">
            <v>HASDEO-BANGO    MDDL    329.79 M</v>
          </cell>
          <cell r="C110" t="str">
            <v>M</v>
          </cell>
          <cell r="F110" t="str">
            <v>N.A.</v>
          </cell>
          <cell r="G110">
            <v>353.12</v>
          </cell>
          <cell r="H110">
            <v>347.98</v>
          </cell>
        </row>
        <row r="111">
          <cell r="A111" t="str">
            <v/>
          </cell>
          <cell r="B111" t="str">
            <v>Energy   Contents   in   MKwh</v>
          </cell>
          <cell r="C111" t="str">
            <v>MU</v>
          </cell>
          <cell r="F111" t="str">
            <v>-</v>
          </cell>
          <cell r="G111">
            <v>152.76295999999999</v>
          </cell>
          <cell r="H111">
            <v>94</v>
          </cell>
        </row>
        <row r="112">
          <cell r="A112" t="str">
            <v>g</v>
          </cell>
          <cell r="B112" t="str">
            <v xml:space="preserve">RAJGHAT     MDDL    </v>
          </cell>
          <cell r="C112" t="str">
            <v>M</v>
          </cell>
          <cell r="F112" t="str">
            <v>N.A.</v>
          </cell>
          <cell r="G112">
            <v>353.12</v>
          </cell>
          <cell r="H112" t="str">
            <v/>
          </cell>
        </row>
        <row r="113">
          <cell r="A113" t="str">
            <v/>
          </cell>
          <cell r="B113" t="str">
            <v>Energy   Contents   in   MKwh</v>
          </cell>
          <cell r="C113" t="str">
            <v>MU</v>
          </cell>
          <cell r="F113" t="str">
            <v>-</v>
          </cell>
          <cell r="G113">
            <v>152.76295999999999</v>
          </cell>
          <cell r="H113" t="str">
            <v/>
          </cell>
        </row>
        <row r="114">
          <cell r="A114" t="str">
            <v/>
          </cell>
          <cell r="B114" t="str">
            <v>M.P.E.B. GENERATION  AS PER SHARE</v>
          </cell>
        </row>
        <row r="115">
          <cell r="A115">
            <v>1</v>
          </cell>
          <cell r="B115" t="str">
            <v>THERMAL  ( Excl. 40% Satpura I)</v>
          </cell>
          <cell r="C115" t="str">
            <v>MU</v>
          </cell>
          <cell r="D115">
            <v>11025.74</v>
          </cell>
          <cell r="E115">
            <v>11747.67</v>
          </cell>
          <cell r="F115">
            <v>12723.74</v>
          </cell>
          <cell r="G115">
            <v>14182.079879999999</v>
          </cell>
          <cell r="H115">
            <v>15345.74</v>
          </cell>
        </row>
        <row r="116">
          <cell r="A116">
            <v>2</v>
          </cell>
          <cell r="B116" t="str">
            <v>HYDEL    ( Excl. 50 % Chambal &amp; 1/3 Pench )</v>
          </cell>
          <cell r="C116" t="str">
            <v>MU</v>
          </cell>
          <cell r="D116">
            <v>1498.64</v>
          </cell>
          <cell r="E116">
            <v>1511.49</v>
          </cell>
          <cell r="F116">
            <v>1658.26</v>
          </cell>
          <cell r="G116">
            <v>2415.3094620000002</v>
          </cell>
          <cell r="H116">
            <v>2253.15</v>
          </cell>
        </row>
        <row r="117">
          <cell r="A117">
            <v>3</v>
          </cell>
          <cell r="B117" t="str">
            <v>TOTAL</v>
          </cell>
          <cell r="C117" t="str">
            <v>MU</v>
          </cell>
          <cell r="D117">
            <v>12524.38</v>
          </cell>
          <cell r="E117">
            <v>13259.16</v>
          </cell>
          <cell r="F117">
            <v>14382</v>
          </cell>
          <cell r="G117">
            <v>16597.389341999999</v>
          </cell>
          <cell r="H117">
            <v>17598.88</v>
          </cell>
        </row>
        <row r="118">
          <cell r="A118" t="str">
            <v>Note :-</v>
          </cell>
          <cell r="B118" t="str">
            <v>1.Heavy and good rains resulted in more secondary generation in Hydel Stations in Year 1994-95</v>
          </cell>
        </row>
        <row r="119">
          <cell r="A119" t="str">
            <v>Note :-</v>
          </cell>
          <cell r="B119" t="str">
            <v>2.Intermittent rains practically every month resulted in building up level and non utilisation of water due to lack of demand in 1997-98.</v>
          </cell>
        </row>
        <row r="120">
          <cell r="A120" t="str">
            <v>EXECUTIVE SUMMARY</v>
          </cell>
        </row>
        <row r="121">
          <cell r="A121" t="str">
            <v>96-97 to 00-01</v>
          </cell>
        </row>
        <row r="122">
          <cell r="A122" t="str">
            <v xml:space="preserve"> HYDEL GENETRATION</v>
          </cell>
        </row>
        <row r="123">
          <cell r="A123" t="str">
            <v/>
          </cell>
          <cell r="B123" t="str">
            <v>P A R T I C U L A R S</v>
          </cell>
          <cell r="D123" t="str">
            <v>96-97</v>
          </cell>
          <cell r="E123" t="str">
            <v>97-98</v>
          </cell>
          <cell r="F123" t="str">
            <v>98-99</v>
          </cell>
          <cell r="G123" t="str">
            <v>99-00</v>
          </cell>
          <cell r="H123" t="str">
            <v>00-01</v>
          </cell>
        </row>
        <row r="124">
          <cell r="A124">
            <v>1</v>
          </cell>
          <cell r="B124" t="str">
            <v>Hydel Generation(G'sagar+Pench+Bargi+Tons+ B'pur+HB))</v>
          </cell>
          <cell r="C124" t="str">
            <v>MU</v>
          </cell>
          <cell r="D124">
            <v>2067.65</v>
          </cell>
          <cell r="E124">
            <v>2232.69</v>
          </cell>
          <cell r="F124">
            <v>2833.73</v>
          </cell>
          <cell r="G124">
            <v>2459.5</v>
          </cell>
          <cell r="H124">
            <v>1824.28</v>
          </cell>
        </row>
        <row r="125">
          <cell r="A125">
            <v>2</v>
          </cell>
          <cell r="B125" t="str">
            <v xml:space="preserve">Target (PLAN )   </v>
          </cell>
          <cell r="C125" t="str">
            <v>MU</v>
          </cell>
          <cell r="D125">
            <v>2195</v>
          </cell>
          <cell r="E125">
            <v>2195</v>
          </cell>
          <cell r="F125">
            <v>2275</v>
          </cell>
          <cell r="G125">
            <v>2440</v>
          </cell>
          <cell r="H125">
            <v>2480</v>
          </cell>
        </row>
        <row r="126">
          <cell r="A126">
            <v>3</v>
          </cell>
          <cell r="B126" t="str">
            <v>ACHIEVEMENT Percentage of ( 2 )</v>
          </cell>
          <cell r="C126" t="str">
            <v>%</v>
          </cell>
          <cell r="D126">
            <v>94.198177676537583</v>
          </cell>
          <cell r="E126">
            <v>101.71708428246014</v>
          </cell>
          <cell r="F126">
            <v>124.56</v>
          </cell>
          <cell r="G126">
            <v>124.56</v>
          </cell>
          <cell r="H126">
            <v>73.559677419354841</v>
          </cell>
        </row>
        <row r="127">
          <cell r="A127">
            <v>4</v>
          </cell>
          <cell r="B127" t="str">
            <v>Hydel Generation M.P.Share</v>
          </cell>
          <cell r="C127" t="str">
            <v>MU</v>
          </cell>
          <cell r="D127">
            <v>2274.37</v>
          </cell>
          <cell r="E127">
            <v>2324.88</v>
          </cell>
          <cell r="F127">
            <v>2850.57</v>
          </cell>
          <cell r="G127">
            <v>2507.1999999999998</v>
          </cell>
          <cell r="H127">
            <v>1809.98</v>
          </cell>
        </row>
        <row r="128">
          <cell r="A128">
            <v>5</v>
          </cell>
          <cell r="B128" t="str">
            <v xml:space="preserve">Target (PLAN )   </v>
          </cell>
          <cell r="C128" t="str">
            <v>MU</v>
          </cell>
          <cell r="D128">
            <v>2200</v>
          </cell>
          <cell r="E128">
            <v>2200</v>
          </cell>
          <cell r="F128">
            <v>2300</v>
          </cell>
          <cell r="G128">
            <v>2385</v>
          </cell>
          <cell r="H128">
            <v>2424.17</v>
          </cell>
        </row>
        <row r="129">
          <cell r="A129">
            <v>6</v>
          </cell>
          <cell r="B129" t="str">
            <v>ACHIEVEMENT Percentage of ( 5 )</v>
          </cell>
          <cell r="C129" t="str">
            <v>%</v>
          </cell>
          <cell r="D129">
            <v>103.38045454545454</v>
          </cell>
          <cell r="E129">
            <v>105.67636363636363</v>
          </cell>
          <cell r="F129">
            <v>123.94</v>
          </cell>
          <cell r="G129">
            <v>123.94</v>
          </cell>
          <cell r="H129">
            <v>74.663905584179332</v>
          </cell>
        </row>
        <row r="130">
          <cell r="A130">
            <v>7</v>
          </cell>
          <cell r="B130" t="str">
            <v xml:space="preserve">Reservoir Level at the end </v>
          </cell>
        </row>
        <row r="131">
          <cell r="A131" t="str">
            <v>a</v>
          </cell>
          <cell r="B131" t="str">
            <v>GANDHISAGAR     MDDL   1250.00 Ft</v>
          </cell>
          <cell r="C131" t="str">
            <v>FT</v>
          </cell>
          <cell r="D131">
            <v>1291.08</v>
          </cell>
          <cell r="E131">
            <v>1295.8</v>
          </cell>
          <cell r="F131">
            <v>1272.98</v>
          </cell>
          <cell r="G131">
            <v>1265.2</v>
          </cell>
          <cell r="H131">
            <v>1248.69</v>
          </cell>
        </row>
        <row r="132">
          <cell r="A132" t="str">
            <v/>
          </cell>
          <cell r="B132" t="str">
            <v>Energy   Contents   in   MKwh</v>
          </cell>
          <cell r="C132" t="str">
            <v>MU</v>
          </cell>
          <cell r="D132">
            <v>336.2</v>
          </cell>
          <cell r="E132">
            <v>411</v>
          </cell>
          <cell r="F132">
            <v>130.84</v>
          </cell>
          <cell r="G132">
            <v>75.400000000000006</v>
          </cell>
          <cell r="H132">
            <v>0</v>
          </cell>
        </row>
        <row r="133">
          <cell r="A133" t="str">
            <v>b</v>
          </cell>
          <cell r="B133" t="str">
            <v>PENCH           MDDL    464.50 M</v>
          </cell>
          <cell r="C133" t="str">
            <v>M</v>
          </cell>
          <cell r="D133">
            <v>467.3</v>
          </cell>
          <cell r="E133">
            <v>486.66</v>
          </cell>
          <cell r="F133">
            <v>481.29</v>
          </cell>
          <cell r="G133">
            <v>478.86</v>
          </cell>
          <cell r="H133">
            <v>463.46</v>
          </cell>
        </row>
        <row r="134">
          <cell r="A134" t="str">
            <v/>
          </cell>
          <cell r="B134" t="str">
            <v>Energy   Contents   in   MKwh</v>
          </cell>
          <cell r="C134" t="str">
            <v>MU</v>
          </cell>
          <cell r="D134">
            <v>18.8</v>
          </cell>
          <cell r="E134">
            <v>289.5</v>
          </cell>
          <cell r="F134">
            <v>177.93</v>
          </cell>
          <cell r="G134">
            <v>137.9</v>
          </cell>
          <cell r="H134">
            <v>0</v>
          </cell>
        </row>
        <row r="135">
          <cell r="A135" t="str">
            <v>c</v>
          </cell>
          <cell r="B135" t="str">
            <v>BARGI           MDDL    403.50 M</v>
          </cell>
          <cell r="C135" t="str">
            <v>M</v>
          </cell>
          <cell r="D135">
            <v>411.35</v>
          </cell>
          <cell r="E135">
            <v>416.75</v>
          </cell>
          <cell r="F135">
            <v>410.45</v>
          </cell>
          <cell r="G135">
            <v>411.05</v>
          </cell>
          <cell r="H135">
            <v>410</v>
          </cell>
        </row>
        <row r="136">
          <cell r="A136" t="str">
            <v/>
          </cell>
          <cell r="B136" t="str">
            <v>Energy   Contents   in   MKwh</v>
          </cell>
          <cell r="C136" t="str">
            <v>MU</v>
          </cell>
          <cell r="D136">
            <v>71.55</v>
          </cell>
          <cell r="E136">
            <v>160.75</v>
          </cell>
          <cell r="F136">
            <v>60.4</v>
          </cell>
          <cell r="G136">
            <v>67.650000000000006</v>
          </cell>
          <cell r="H136">
            <v>55</v>
          </cell>
        </row>
        <row r="137">
          <cell r="A137" t="str">
            <v>d</v>
          </cell>
          <cell r="B137" t="str">
            <v>TONS            MDDL    275.00 M</v>
          </cell>
          <cell r="C137" t="str">
            <v>M</v>
          </cell>
          <cell r="D137">
            <v>277.3</v>
          </cell>
          <cell r="E137">
            <v>277.2</v>
          </cell>
          <cell r="F137">
            <v>277</v>
          </cell>
          <cell r="G137">
            <v>275</v>
          </cell>
          <cell r="H137">
            <v>276.3</v>
          </cell>
        </row>
        <row r="138">
          <cell r="A138" t="str">
            <v/>
          </cell>
          <cell r="B138" t="str">
            <v>Energy   Contents   in   MKwh</v>
          </cell>
          <cell r="C138" t="str">
            <v>MU</v>
          </cell>
          <cell r="D138">
            <v>0</v>
          </cell>
          <cell r="E138">
            <v>0</v>
          </cell>
          <cell r="F138">
            <v>0</v>
          </cell>
          <cell r="G138">
            <v>0</v>
          </cell>
          <cell r="H138">
            <v>0.87</v>
          </cell>
        </row>
        <row r="139">
          <cell r="A139" t="str">
            <v>e</v>
          </cell>
          <cell r="B139" t="str">
            <v>BIRSINGHPUR     MDDL    471.00 M</v>
          </cell>
          <cell r="C139" t="str">
            <v>M</v>
          </cell>
          <cell r="D139">
            <v>475.01</v>
          </cell>
          <cell r="E139">
            <v>475.65</v>
          </cell>
          <cell r="F139">
            <v>474.63</v>
          </cell>
          <cell r="G139">
            <v>475.73</v>
          </cell>
          <cell r="H139">
            <v>474.48</v>
          </cell>
        </row>
        <row r="140">
          <cell r="A140" t="str">
            <v/>
          </cell>
          <cell r="B140" t="str">
            <v>Energy   Contents   in   MKwh</v>
          </cell>
          <cell r="C140" t="str">
            <v>MU</v>
          </cell>
          <cell r="D140">
            <v>4.41</v>
          </cell>
          <cell r="E140">
            <v>5.95</v>
          </cell>
          <cell r="F140">
            <v>3.95</v>
          </cell>
          <cell r="G140">
            <v>5.27</v>
          </cell>
          <cell r="H140">
            <v>3.78</v>
          </cell>
        </row>
        <row r="141">
          <cell r="A141" t="str">
            <v>f</v>
          </cell>
          <cell r="B141" t="str">
            <v>HASDEO-BANGO    MDDL    329.79 M</v>
          </cell>
          <cell r="C141" t="str">
            <v>M</v>
          </cell>
          <cell r="D141">
            <v>345</v>
          </cell>
          <cell r="E141">
            <v>355.56</v>
          </cell>
          <cell r="F141">
            <v>334.51</v>
          </cell>
          <cell r="G141">
            <v>344.57</v>
          </cell>
          <cell r="H141">
            <v>345.48</v>
          </cell>
        </row>
        <row r="142">
          <cell r="A142" t="str">
            <v/>
          </cell>
          <cell r="B142" t="str">
            <v>Energy   Contents   in   MKwh</v>
          </cell>
          <cell r="C142" t="str">
            <v>MU</v>
          </cell>
          <cell r="D142">
            <v>68</v>
          </cell>
          <cell r="E142">
            <v>187.4</v>
          </cell>
          <cell r="F142">
            <v>13.18</v>
          </cell>
          <cell r="G142">
            <v>64.849999999999994</v>
          </cell>
          <cell r="H142">
            <v>71.36</v>
          </cell>
        </row>
        <row r="143">
          <cell r="A143" t="str">
            <v>g</v>
          </cell>
          <cell r="B143" t="str">
            <v xml:space="preserve">RAJGHAT     MDDL    </v>
          </cell>
          <cell r="C143" t="str">
            <v>M</v>
          </cell>
          <cell r="D143" t="str">
            <v/>
          </cell>
          <cell r="E143" t="str">
            <v/>
          </cell>
          <cell r="F143" t="str">
            <v/>
          </cell>
          <cell r="G143" t="str">
            <v/>
          </cell>
          <cell r="H143" t="str">
            <v/>
          </cell>
        </row>
        <row r="144">
          <cell r="A144" t="str">
            <v/>
          </cell>
          <cell r="B144" t="str">
            <v>Energy   Contents   in   MKwh</v>
          </cell>
          <cell r="C144" t="str">
            <v>MU</v>
          </cell>
          <cell r="D144" t="str">
            <v/>
          </cell>
          <cell r="E144" t="str">
            <v/>
          </cell>
          <cell r="F144" t="str">
            <v/>
          </cell>
          <cell r="G144" t="str">
            <v/>
          </cell>
          <cell r="H144">
            <v>0</v>
          </cell>
        </row>
        <row r="145">
          <cell r="A145" t="str">
            <v/>
          </cell>
          <cell r="B145" t="str">
            <v>M.P.E.B. GENERATION  AS PER SHARE</v>
          </cell>
        </row>
        <row r="146">
          <cell r="A146">
            <v>1</v>
          </cell>
          <cell r="B146" t="str">
            <v>THERMAL  ( Excl. 40% Satpura I)</v>
          </cell>
          <cell r="C146" t="str">
            <v>MU</v>
          </cell>
          <cell r="D146">
            <v>16139.38</v>
          </cell>
          <cell r="E146">
            <v>17117.55</v>
          </cell>
          <cell r="F146">
            <v>17701.060000000001</v>
          </cell>
          <cell r="G146">
            <v>19305.5</v>
          </cell>
          <cell r="H146">
            <v>19626.939999999999</v>
          </cell>
        </row>
        <row r="147">
          <cell r="A147">
            <v>2</v>
          </cell>
          <cell r="B147" t="str">
            <v>HYDEL    ( Excl. 50 % Chambal &amp; 1/3 Pench )</v>
          </cell>
          <cell r="C147" t="str">
            <v>MU</v>
          </cell>
          <cell r="D147">
            <v>2274.37</v>
          </cell>
          <cell r="E147">
            <v>2324.88</v>
          </cell>
          <cell r="F147">
            <v>2850.57</v>
          </cell>
          <cell r="G147">
            <v>2507.1999999999998</v>
          </cell>
          <cell r="H147">
            <v>1809.98</v>
          </cell>
        </row>
        <row r="148">
          <cell r="A148">
            <v>3</v>
          </cell>
          <cell r="B148" t="str">
            <v>TOTAL</v>
          </cell>
          <cell r="C148" t="str">
            <v>MU</v>
          </cell>
          <cell r="D148">
            <v>18413.75</v>
          </cell>
          <cell r="E148">
            <v>19442.43</v>
          </cell>
          <cell r="F148">
            <v>20551.63</v>
          </cell>
          <cell r="G148">
            <v>21812.7</v>
          </cell>
          <cell r="H148">
            <v>21436.92</v>
          </cell>
        </row>
        <row r="149">
          <cell r="A149" t="str">
            <v>Note :-</v>
          </cell>
          <cell r="B149" t="str">
            <v>1.Heavy and good rains resulted in more secondary generation in Hydel Stations in Year 1994-95</v>
          </cell>
        </row>
        <row r="150">
          <cell r="A150" t="str">
            <v>Note :-</v>
          </cell>
          <cell r="B150" t="str">
            <v>2.Intermittent rains practically every month resulted in building up level and non utilisation of water due to lack of demand in 1997-98.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sheetData sheetId="35" refreshError="1"/>
      <sheetData sheetId="36"/>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sheetData sheetId="49"/>
      <sheetData sheetId="50" refreshError="1"/>
      <sheetData sheetId="51" refreshError="1"/>
      <sheetData sheetId="52" refreshError="1"/>
      <sheetData sheetId="53" refreshError="1"/>
      <sheetData sheetId="54" refreshError="1"/>
      <sheetData sheetId="55"/>
      <sheetData sheetId="56" refreshError="1"/>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input"/>
      <sheetName val="Daily report"/>
      <sheetName val="OCM2"/>
      <sheetName val="OCM4"/>
      <sheetName val="OCM1"/>
      <sheetName val="OCM3"/>
      <sheetName val="OCM5"/>
      <sheetName val="OCM7"/>
      <sheetName val="INDEX"/>
      <sheetName val="OCM6"/>
      <sheetName val="highlight"/>
      <sheetName val="water"/>
      <sheetName val="AWARD"/>
      <sheetName val="CE"/>
      <sheetName val="hrawd"/>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utive Summary -Thermal"/>
      <sheetName val="MPEB Performance"/>
      <sheetName val="Stationwise Thermal &amp; Hydel Gen"/>
      <sheetName val="Fuel Oil &amp; Aux. Cons."/>
      <sheetName val="TWELVE"/>
      <sheetName val="UGEN"/>
      <sheetName val="Yearly Thermal"/>
      <sheetName val="Yearly Hydel"/>
      <sheetName val="GPUF9196"/>
      <sheetName val="UNITWISE GEN &amp; FACTORS (S)"/>
      <sheetName val="GENPLF"/>
      <sheetName val="TPI"/>
      <sheetName val="TPI98-99"/>
      <sheetName val="TPI99-00"/>
      <sheetName val="TPI00-01"/>
      <sheetName val="TARGET9197"/>
      <sheetName val="TARGET 97-98"/>
      <sheetName val="TARGET 98-99"/>
      <sheetName val="TARGET 99-00"/>
      <sheetName val="TARGET 00-01"/>
      <sheetName val="MPSEB90-01MONTHLY GENPLF"/>
    </sheetNames>
    <sheetDataSet>
      <sheetData sheetId="0" refreshError="1">
        <row r="4">
          <cell r="A4" t="str">
            <v xml:space="preserve"> </v>
          </cell>
          <cell r="B4" t="str">
            <v>P A R T I C U L A R S</v>
          </cell>
          <cell r="D4" t="str">
            <v>91-92</v>
          </cell>
          <cell r="E4" t="str">
            <v>92-93</v>
          </cell>
          <cell r="F4" t="str">
            <v>93-94</v>
          </cell>
          <cell r="G4" t="str">
            <v>94-95</v>
          </cell>
          <cell r="H4" t="str">
            <v xml:space="preserve">95-96 </v>
          </cell>
        </row>
        <row r="5">
          <cell r="A5">
            <v>1</v>
          </cell>
          <cell r="B5" t="str">
            <v>Thermal  Generation (Including 100 % Satpura )</v>
          </cell>
          <cell r="C5" t="str">
            <v>MU</v>
          </cell>
          <cell r="D5">
            <v>11579.92</v>
          </cell>
          <cell r="E5">
            <v>12363.2</v>
          </cell>
          <cell r="F5">
            <v>13331.49</v>
          </cell>
          <cell r="G5">
            <v>14781.19868</v>
          </cell>
          <cell r="H5">
            <v>16071.35</v>
          </cell>
        </row>
        <row r="6">
          <cell r="A6">
            <v>2</v>
          </cell>
          <cell r="B6" t="str">
            <v xml:space="preserve">Plan Target    </v>
          </cell>
          <cell r="C6" t="str">
            <v>MU</v>
          </cell>
          <cell r="D6">
            <v>13440</v>
          </cell>
          <cell r="E6">
            <v>13240</v>
          </cell>
          <cell r="F6">
            <v>14935</v>
          </cell>
          <cell r="G6">
            <v>14850</v>
          </cell>
          <cell r="H6">
            <v>16620</v>
          </cell>
        </row>
        <row r="7">
          <cell r="A7">
            <v>3</v>
          </cell>
          <cell r="B7" t="str">
            <v>ACHIEVEMENT Percentage of ( 2 )</v>
          </cell>
          <cell r="C7" t="str">
            <v>%</v>
          </cell>
          <cell r="D7">
            <v>86.160119047619048</v>
          </cell>
          <cell r="E7">
            <v>93.377643504531719</v>
          </cell>
          <cell r="F7">
            <v>89.26340810177436</v>
          </cell>
          <cell r="G7">
            <v>99.53669144781145</v>
          </cell>
          <cell r="H7">
            <v>96.698856799037301</v>
          </cell>
        </row>
        <row r="8">
          <cell r="A8">
            <v>4</v>
          </cell>
          <cell r="B8" t="str">
            <v>Plant    Utilisation    Factor            **</v>
          </cell>
          <cell r="C8" t="str">
            <v>%</v>
          </cell>
          <cell r="D8">
            <v>49.14</v>
          </cell>
          <cell r="E8">
            <v>52.6</v>
          </cell>
          <cell r="F8">
            <v>56.03</v>
          </cell>
          <cell r="G8">
            <v>58.1673864745838</v>
          </cell>
          <cell r="H8">
            <v>59.2</v>
          </cell>
        </row>
        <row r="9">
          <cell r="A9">
            <v>5</v>
          </cell>
          <cell r="B9" t="str">
            <v>Plant    Availibility   Factor              **</v>
          </cell>
          <cell r="C9" t="str">
            <v>%</v>
          </cell>
          <cell r="D9">
            <v>66.92</v>
          </cell>
          <cell r="E9">
            <v>71.400000000000006</v>
          </cell>
          <cell r="F9">
            <v>72.040000000000006</v>
          </cell>
          <cell r="G9">
            <v>75.44</v>
          </cell>
          <cell r="H9">
            <v>75.3</v>
          </cell>
        </row>
        <row r="10">
          <cell r="A10">
            <v>6</v>
          </cell>
          <cell r="B10" t="str">
            <v>Partial  Unavailability Factor         **</v>
          </cell>
          <cell r="C10" t="str">
            <v>%</v>
          </cell>
          <cell r="D10">
            <v>17.78</v>
          </cell>
          <cell r="E10">
            <v>18.8</v>
          </cell>
          <cell r="F10">
            <v>16</v>
          </cell>
          <cell r="G10">
            <v>17.272613525416201</v>
          </cell>
          <cell r="H10">
            <v>16.16</v>
          </cell>
        </row>
        <row r="11">
          <cell r="A11" t="str">
            <v>a</v>
          </cell>
          <cell r="B11" t="str">
            <v>Main Boiler</v>
          </cell>
          <cell r="C11" t="str">
            <v>%</v>
          </cell>
          <cell r="D11">
            <v>0</v>
          </cell>
          <cell r="E11">
            <v>0.38</v>
          </cell>
          <cell r="F11">
            <v>0.24</v>
          </cell>
          <cell r="G11">
            <v>0.25</v>
          </cell>
          <cell r="H11">
            <v>2.4</v>
          </cell>
        </row>
        <row r="12">
          <cell r="A12" t="str">
            <v>b</v>
          </cell>
          <cell r="B12" t="str">
            <v>Boiler Auxiliaries(Mainly Mills)</v>
          </cell>
          <cell r="C12" t="str">
            <v>%</v>
          </cell>
          <cell r="D12">
            <v>2.1352047355439101</v>
          </cell>
          <cell r="E12">
            <v>0.82</v>
          </cell>
          <cell r="F12">
            <v>1.03</v>
          </cell>
          <cell r="G12">
            <v>0.57999999999999996</v>
          </cell>
          <cell r="H12">
            <v>5.0999999999999996</v>
          </cell>
        </row>
        <row r="13">
          <cell r="A13" t="str">
            <v>c</v>
          </cell>
          <cell r="B13" t="str">
            <v>Turbine</v>
          </cell>
          <cell r="C13" t="str">
            <v>%</v>
          </cell>
          <cell r="D13">
            <v>0.30946718340726254</v>
          </cell>
          <cell r="E13">
            <v>1.1200000000000001</v>
          </cell>
          <cell r="F13">
            <v>1.37</v>
          </cell>
          <cell r="G13">
            <v>0.28000000000000003</v>
          </cell>
          <cell r="H13">
            <v>0.8</v>
          </cell>
        </row>
        <row r="14">
          <cell r="A14" t="str">
            <v>d</v>
          </cell>
          <cell r="B14" t="str">
            <v>Turbine Auxiliaries</v>
          </cell>
          <cell r="C14" t="str">
            <v>%</v>
          </cell>
          <cell r="D14">
            <v>1.1834191455446403</v>
          </cell>
          <cell r="E14">
            <v>0.81</v>
          </cell>
          <cell r="F14">
            <v>0.54</v>
          </cell>
          <cell r="G14">
            <v>0.21</v>
          </cell>
          <cell r="H14">
            <v>0.6</v>
          </cell>
        </row>
        <row r="15">
          <cell r="A15" t="str">
            <v>e</v>
          </cell>
          <cell r="B15" t="str">
            <v>Generator</v>
          </cell>
          <cell r="C15" t="str">
            <v>%</v>
          </cell>
          <cell r="D15">
            <v>0.23316136939653051</v>
          </cell>
          <cell r="E15">
            <v>0.36</v>
          </cell>
          <cell r="F15">
            <v>0.69</v>
          </cell>
          <cell r="G15">
            <v>0.93</v>
          </cell>
          <cell r="H15">
            <v>0.3</v>
          </cell>
        </row>
        <row r="16">
          <cell r="A16" t="str">
            <v>f</v>
          </cell>
          <cell r="B16" t="str">
            <v>Electrical</v>
          </cell>
          <cell r="C16" t="str">
            <v>%</v>
          </cell>
          <cell r="D16">
            <v>0.46916617012716505</v>
          </cell>
          <cell r="E16">
            <v>0.28000000000000003</v>
          </cell>
          <cell r="F16">
            <v>0.28999999999999998</v>
          </cell>
          <cell r="G16">
            <v>1.78</v>
          </cell>
          <cell r="H16">
            <v>0.8</v>
          </cell>
        </row>
        <row r="17">
          <cell r="A17" t="str">
            <v>g</v>
          </cell>
          <cell r="B17" t="str">
            <v>Coal related (Quality ,Quantity ,Handling ,wet coal)</v>
          </cell>
          <cell r="C17" t="str">
            <v>%</v>
          </cell>
          <cell r="D17">
            <v>3.0365300291812445</v>
          </cell>
          <cell r="E17">
            <v>0.33</v>
          </cell>
          <cell r="F17">
            <v>0.12</v>
          </cell>
          <cell r="G17">
            <v>0.47</v>
          </cell>
          <cell r="H17">
            <v>5.8</v>
          </cell>
        </row>
        <row r="18">
          <cell r="A18" t="str">
            <v>h</v>
          </cell>
          <cell r="B18" t="str">
            <v>Others</v>
          </cell>
          <cell r="C18" t="str">
            <v>%</v>
          </cell>
          <cell r="D18">
            <v>2.2070544258220908</v>
          </cell>
          <cell r="E18">
            <v>3.85</v>
          </cell>
          <cell r="F18">
            <v>1.23</v>
          </cell>
          <cell r="G18">
            <v>1</v>
          </cell>
          <cell r="H18">
            <v>0.5</v>
          </cell>
        </row>
        <row r="19">
          <cell r="A19">
            <v>7</v>
          </cell>
          <cell r="B19" t="str">
            <v xml:space="preserve">Planned  Outage         Rate          </v>
          </cell>
          <cell r="C19" t="str">
            <v>MU</v>
          </cell>
          <cell r="D19">
            <v>3672.14</v>
          </cell>
          <cell r="E19">
            <v>3192.88</v>
          </cell>
          <cell r="F19">
            <v>3765.67</v>
          </cell>
          <cell r="G19">
            <v>2144.02</v>
          </cell>
          <cell r="H19">
            <v>3421.66</v>
          </cell>
        </row>
        <row r="20">
          <cell r="A20" t="str">
            <v>a</v>
          </cell>
          <cell r="C20" t="str">
            <v>No</v>
          </cell>
          <cell r="D20">
            <v>18</v>
          </cell>
          <cell r="E20">
            <v>23</v>
          </cell>
          <cell r="F20">
            <v>20</v>
          </cell>
          <cell r="G20">
            <v>24</v>
          </cell>
          <cell r="H20">
            <v>23</v>
          </cell>
        </row>
        <row r="21">
          <cell r="A21" t="str">
            <v>b</v>
          </cell>
          <cell r="B21" t="str">
            <v xml:space="preserve">                                                       **</v>
          </cell>
          <cell r="C21" t="str">
            <v>%</v>
          </cell>
          <cell r="D21">
            <v>16</v>
          </cell>
          <cell r="E21">
            <v>13.59</v>
          </cell>
          <cell r="F21">
            <v>16.079999999999998</v>
          </cell>
          <cell r="G21">
            <v>12.209376208374712</v>
          </cell>
          <cell r="H21">
            <v>12.6</v>
          </cell>
        </row>
        <row r="22">
          <cell r="A22">
            <v>8</v>
          </cell>
          <cell r="B22" t="str">
            <v xml:space="preserve">Forced   Outage   </v>
          </cell>
          <cell r="C22" t="str">
            <v>MU</v>
          </cell>
          <cell r="D22">
            <v>4054.2</v>
          </cell>
          <cell r="E22">
            <v>3528.19</v>
          </cell>
          <cell r="F22">
            <v>2780.85</v>
          </cell>
          <cell r="G22">
            <v>3161.67</v>
          </cell>
          <cell r="H22">
            <v>3281.99</v>
          </cell>
        </row>
        <row r="23">
          <cell r="A23" t="str">
            <v>a</v>
          </cell>
          <cell r="C23" t="str">
            <v>No</v>
          </cell>
          <cell r="D23">
            <v>838</v>
          </cell>
          <cell r="E23">
            <v>793</v>
          </cell>
          <cell r="F23">
            <v>756</v>
          </cell>
          <cell r="G23">
            <v>935</v>
          </cell>
          <cell r="H23">
            <v>1031</v>
          </cell>
        </row>
        <row r="24">
          <cell r="A24" t="str">
            <v>b</v>
          </cell>
          <cell r="B24" t="str">
            <v xml:space="preserve">                                                      **</v>
          </cell>
          <cell r="C24" t="str">
            <v>%</v>
          </cell>
          <cell r="D24">
            <v>17.079999999999998</v>
          </cell>
          <cell r="E24">
            <v>15.01</v>
          </cell>
          <cell r="F24">
            <v>11.88</v>
          </cell>
          <cell r="G24">
            <v>12.35</v>
          </cell>
          <cell r="H24">
            <v>12.08</v>
          </cell>
        </row>
        <row r="25">
          <cell r="A25" t="str">
            <v>c</v>
          </cell>
          <cell r="B25" t="str">
            <v>Boiler Tube Leakages</v>
          </cell>
          <cell r="C25" t="str">
            <v>MU</v>
          </cell>
          <cell r="D25">
            <v>1507</v>
          </cell>
          <cell r="E25">
            <v>1373.19</v>
          </cell>
          <cell r="F25">
            <v>1286</v>
          </cell>
          <cell r="G25">
            <v>1722</v>
          </cell>
          <cell r="H25">
            <v>2009.66</v>
          </cell>
        </row>
        <row r="26">
          <cell r="A26" t="str">
            <v>d</v>
          </cell>
          <cell r="C26" t="str">
            <v>No</v>
          </cell>
          <cell r="D26">
            <v>167</v>
          </cell>
          <cell r="E26">
            <v>188</v>
          </cell>
          <cell r="F26">
            <v>192</v>
          </cell>
          <cell r="G26">
            <v>240</v>
          </cell>
          <cell r="H26">
            <v>273</v>
          </cell>
        </row>
        <row r="27">
          <cell r="A27" t="str">
            <v>e</v>
          </cell>
          <cell r="C27" t="str">
            <v>%</v>
          </cell>
          <cell r="D27">
            <v>6.3955985380519014</v>
          </cell>
          <cell r="E27">
            <v>5.829559290259148</v>
          </cell>
          <cell r="F27">
            <v>5.4781122578512509</v>
          </cell>
          <cell r="G27">
            <v>6.4055165111673595</v>
          </cell>
          <cell r="H27">
            <v>7.398106058932755</v>
          </cell>
        </row>
        <row r="28">
          <cell r="A28">
            <v>9</v>
          </cell>
          <cell r="B28" t="str">
            <v>Total          Coal           Consumption</v>
          </cell>
          <cell r="C28" t="str">
            <v>1000MT</v>
          </cell>
          <cell r="D28">
            <v>9628</v>
          </cell>
          <cell r="E28">
            <v>10365</v>
          </cell>
          <cell r="F28">
            <v>10889.111999999999</v>
          </cell>
          <cell r="G28">
            <v>12127.994971999999</v>
          </cell>
          <cell r="H28">
            <v>13030.226000000001</v>
          </cell>
        </row>
        <row r="29">
          <cell r="A29">
            <v>10</v>
          </cell>
          <cell r="B29" t="str">
            <v xml:space="preserve">COST OF  Coal consumed @ Rs 800 /MT </v>
          </cell>
          <cell r="C29" t="str">
            <v>Cr Rs.</v>
          </cell>
          <cell r="D29">
            <v>770.24</v>
          </cell>
          <cell r="E29">
            <v>829.2</v>
          </cell>
          <cell r="F29">
            <v>871.12896000000001</v>
          </cell>
          <cell r="G29">
            <v>970.23959775999992</v>
          </cell>
          <cell r="H29">
            <v>1042.4180799999999</v>
          </cell>
        </row>
        <row r="30">
          <cell r="A30">
            <v>11</v>
          </cell>
          <cell r="B30" t="str">
            <v>Specific    Coal           Consumption</v>
          </cell>
          <cell r="C30" t="str">
            <v>Kg/Kwh</v>
          </cell>
          <cell r="D30">
            <v>0.83</v>
          </cell>
          <cell r="E30">
            <v>0.8</v>
          </cell>
          <cell r="F30">
            <v>0.81679632209152919</v>
          </cell>
          <cell r="G30">
            <v>0.82050145151015585</v>
          </cell>
          <cell r="H30">
            <v>0.81</v>
          </cell>
        </row>
        <row r="31">
          <cell r="A31">
            <v>12</v>
          </cell>
          <cell r="B31" t="str">
            <v>Total          Fuel Oil     Consumption</v>
          </cell>
          <cell r="C31" t="str">
            <v>1000KL</v>
          </cell>
          <cell r="D31">
            <v>147</v>
          </cell>
          <cell r="E31">
            <v>178</v>
          </cell>
          <cell r="F31">
            <v>144.66900000000001</v>
          </cell>
          <cell r="G31">
            <v>185.24459685843499</v>
          </cell>
          <cell r="H31">
            <v>124.101</v>
          </cell>
        </row>
        <row r="32">
          <cell r="A32">
            <v>13</v>
          </cell>
          <cell r="B32" t="str">
            <v>COST OF  Fuel oil consumed  @ Rs 7500 per MT</v>
          </cell>
          <cell r="C32" t="str">
            <v>Cr Rs.</v>
          </cell>
          <cell r="D32">
            <v>110.25</v>
          </cell>
          <cell r="E32">
            <v>133.5</v>
          </cell>
          <cell r="F32">
            <v>108.50174999999999</v>
          </cell>
          <cell r="G32">
            <v>138.93344764382627</v>
          </cell>
          <cell r="H32">
            <v>93.075749999999999</v>
          </cell>
        </row>
        <row r="33">
          <cell r="A33">
            <v>14</v>
          </cell>
          <cell r="B33" t="str">
            <v xml:space="preserve">Specific    Fuel Oil      Consumption </v>
          </cell>
          <cell r="C33" t="str">
            <v>ml/Kwh</v>
          </cell>
          <cell r="D33">
            <v>12.72</v>
          </cell>
          <cell r="E33">
            <v>14.43</v>
          </cell>
          <cell r="F33">
            <v>10.851675244102497</v>
          </cell>
          <cell r="G33">
            <v>12.532447528026529</v>
          </cell>
          <cell r="H33">
            <v>7.72</v>
          </cell>
        </row>
        <row r="34">
          <cell r="A34">
            <v>15</v>
          </cell>
          <cell r="B34" t="str">
            <v>Cost of  Fuels  per  Kwh  Generated</v>
          </cell>
          <cell r="C34" t="str">
            <v>Paise</v>
          </cell>
          <cell r="D34">
            <v>76.035931163600438</v>
          </cell>
          <cell r="E34">
            <v>77.868189465510554</v>
          </cell>
          <cell r="F34">
            <v>73.482462200399212</v>
          </cell>
          <cell r="G34">
            <v>75.039451766832357</v>
          </cell>
          <cell r="H34">
            <v>70.653294838330311</v>
          </cell>
        </row>
        <row r="35">
          <cell r="A35">
            <v>16</v>
          </cell>
          <cell r="B35" t="str">
            <v>Thermal  Auxiliary Consumption   Total</v>
          </cell>
          <cell r="C35" t="str">
            <v>MU</v>
          </cell>
          <cell r="D35">
            <v>1235.3499999999999</v>
          </cell>
          <cell r="E35">
            <v>1288.0999999999999</v>
          </cell>
          <cell r="F35">
            <v>1394.5</v>
          </cell>
          <cell r="G35">
            <v>1558.7317929999999</v>
          </cell>
          <cell r="H35">
            <v>1648.2</v>
          </cell>
        </row>
        <row r="36">
          <cell r="A36">
            <v>17</v>
          </cell>
          <cell r="B36" t="str">
            <v>Thermal  Auxiliary Consumption   Percentage</v>
          </cell>
          <cell r="C36" t="str">
            <v>%</v>
          </cell>
          <cell r="D36">
            <v>10.67</v>
          </cell>
          <cell r="E36">
            <v>10.4</v>
          </cell>
          <cell r="F36">
            <v>10.449094587326698</v>
          </cell>
          <cell r="G36">
            <v>10.545367982294113</v>
          </cell>
          <cell r="H36">
            <v>10.255516804748822</v>
          </cell>
        </row>
        <row r="37">
          <cell r="A37">
            <v>18</v>
          </cell>
          <cell r="B37" t="str">
            <v>Cost of  Fuels  per  Kwh  sent out</v>
          </cell>
          <cell r="C37" t="str">
            <v>Paise</v>
          </cell>
          <cell r="D37">
            <v>85.116152725536196</v>
          </cell>
          <cell r="E37">
            <v>86.924723027331581</v>
          </cell>
          <cell r="F37">
            <v>82.066811650173122</v>
          </cell>
          <cell r="G37">
            <v>83.885484825402543</v>
          </cell>
          <cell r="H37">
            <v>78.727173328988457</v>
          </cell>
        </row>
        <row r="38">
          <cell r="A38" t="str">
            <v>Note :-</v>
          </cell>
        </row>
        <row r="39">
          <cell r="A39">
            <v>1</v>
          </cell>
          <cell r="B39" t="str">
            <v>In 1994-95 &amp;1999-2000specific oil consumption is more due to stablisation of both units of Sanjay Gandhi thermal Power Station.</v>
          </cell>
        </row>
        <row r="40">
          <cell r="A40">
            <v>2</v>
          </cell>
          <cell r="B40" t="str">
            <v xml:space="preserve"> Heavy and unprcedented rains all over resulting in wet coal problems in thermal stations.</v>
          </cell>
        </row>
        <row r="41">
          <cell r="A41">
            <v>3</v>
          </cell>
          <cell r="B41" t="str">
            <v>Considering SGTPS # 1 wef :  01.01.95  , # 2 wef : 01.04.95 ,.# 3 w.e.f : 01.09.99&amp; # 4 w.e.f : 01.04.2000.</v>
          </cell>
        </row>
        <row r="42">
          <cell r="A42">
            <v>4</v>
          </cell>
          <cell r="B42" t="str">
            <v>Considering  Cost of Coal &amp; Fuel oil same for all the  years for comparision purpose .                                         .</v>
          </cell>
        </row>
        <row r="43">
          <cell r="A43">
            <v>5</v>
          </cell>
          <cell r="B43" t="str">
            <v>Totals  may  not  tally  due  to  rounding  off.</v>
          </cell>
        </row>
        <row r="45">
          <cell r="A45" t="str">
            <v>EXECUTIVE SUMMARY</v>
          </cell>
        </row>
        <row r="46">
          <cell r="A46" t="str">
            <v>96-97 to 00-01</v>
          </cell>
        </row>
        <row r="47">
          <cell r="A47" t="str">
            <v>THERMAL GENETRATION</v>
          </cell>
        </row>
        <row r="48">
          <cell r="A48" t="str">
            <v xml:space="preserve"> </v>
          </cell>
          <cell r="B48" t="str">
            <v>P A R T I C U L A R S</v>
          </cell>
          <cell r="D48" t="str">
            <v>96-97</v>
          </cell>
          <cell r="E48" t="str">
            <v>97-98</v>
          </cell>
          <cell r="F48" t="str">
            <v>98-99</v>
          </cell>
          <cell r="G48" t="str">
            <v>99-00</v>
          </cell>
          <cell r="H48" t="str">
            <v>00-01</v>
          </cell>
        </row>
        <row r="49">
          <cell r="A49">
            <v>1</v>
          </cell>
          <cell r="B49" t="str">
            <v>Thermal  Generation (Including 100 % Satpura )</v>
          </cell>
          <cell r="C49" t="str">
            <v>MU</v>
          </cell>
          <cell r="D49">
            <v>16866.97</v>
          </cell>
          <cell r="E49">
            <v>17966.7</v>
          </cell>
          <cell r="F49">
            <v>18471.39</v>
          </cell>
          <cell r="G49">
            <v>20146.419999999998</v>
          </cell>
          <cell r="H49">
            <v>20415.89</v>
          </cell>
        </row>
        <row r="50">
          <cell r="A50">
            <v>2</v>
          </cell>
          <cell r="B50" t="str">
            <v xml:space="preserve">Plan Target    </v>
          </cell>
          <cell r="C50" t="str">
            <v>MU</v>
          </cell>
          <cell r="D50">
            <v>16950</v>
          </cell>
          <cell r="E50">
            <v>17200</v>
          </cell>
          <cell r="F50">
            <v>17500</v>
          </cell>
          <cell r="G50">
            <v>19010</v>
          </cell>
          <cell r="H50">
            <v>21860</v>
          </cell>
        </row>
        <row r="51">
          <cell r="A51">
            <v>3</v>
          </cell>
          <cell r="B51" t="str">
            <v>ACHIEVEMENT Percentage of ( 2 )</v>
          </cell>
          <cell r="C51" t="str">
            <v>%</v>
          </cell>
          <cell r="D51">
            <v>99.510147492625364</v>
          </cell>
          <cell r="E51">
            <v>104.45755813953488</v>
          </cell>
          <cell r="F51">
            <v>105.5508</v>
          </cell>
          <cell r="G51">
            <v>105.97801157285637</v>
          </cell>
          <cell r="H51">
            <v>93.393824336688013</v>
          </cell>
        </row>
        <row r="52">
          <cell r="A52">
            <v>4</v>
          </cell>
          <cell r="B52" t="str">
            <v>Plant    Utilisation    Factor            **</v>
          </cell>
          <cell r="C52" t="str">
            <v>%</v>
          </cell>
          <cell r="D52">
            <v>62.26</v>
          </cell>
          <cell r="E52">
            <v>66.319999999999993</v>
          </cell>
          <cell r="F52">
            <v>68.180000000000007</v>
          </cell>
          <cell r="G52">
            <v>69.42</v>
          </cell>
          <cell r="H52">
            <v>66.349999999999994</v>
          </cell>
        </row>
        <row r="53">
          <cell r="A53">
            <v>5</v>
          </cell>
          <cell r="B53" t="str">
            <v>Plant    Availibility   Factor              **</v>
          </cell>
          <cell r="C53" t="str">
            <v>%</v>
          </cell>
          <cell r="D53">
            <v>74.900000000000006</v>
          </cell>
          <cell r="E53">
            <v>76.290000000000006</v>
          </cell>
          <cell r="F53">
            <v>77.22</v>
          </cell>
          <cell r="G53">
            <v>79.09</v>
          </cell>
          <cell r="H53">
            <v>77.67</v>
          </cell>
        </row>
        <row r="54">
          <cell r="A54">
            <v>6</v>
          </cell>
          <cell r="B54" t="str">
            <v>Partial  Unavailability Factor         **</v>
          </cell>
          <cell r="C54" t="str">
            <v>%</v>
          </cell>
          <cell r="D54">
            <v>12.64</v>
          </cell>
          <cell r="E54">
            <v>9.9700000000000006</v>
          </cell>
          <cell r="F54">
            <v>9.0399999999999991</v>
          </cell>
          <cell r="G54">
            <v>9.67</v>
          </cell>
          <cell r="H54">
            <v>11.32</v>
          </cell>
        </row>
        <row r="55">
          <cell r="A55" t="str">
            <v>a</v>
          </cell>
          <cell r="B55" t="str">
            <v>Main Boiler</v>
          </cell>
          <cell r="C55" t="str">
            <v>%</v>
          </cell>
          <cell r="D55">
            <v>1.4</v>
          </cell>
          <cell r="E55">
            <v>1.17</v>
          </cell>
          <cell r="F55">
            <v>1.91</v>
          </cell>
          <cell r="G55">
            <v>2.62</v>
          </cell>
          <cell r="H55">
            <v>4061.5740000000001</v>
          </cell>
        </row>
        <row r="56">
          <cell r="A56" t="str">
            <v>b</v>
          </cell>
          <cell r="B56" t="str">
            <v>Boiler Auxiliaries(Mainly Mills)</v>
          </cell>
          <cell r="C56" t="str">
            <v>%</v>
          </cell>
          <cell r="D56">
            <v>4.9000000000000004</v>
          </cell>
          <cell r="E56">
            <v>3.07</v>
          </cell>
          <cell r="F56">
            <v>1.57</v>
          </cell>
          <cell r="G56">
            <v>1.89</v>
          </cell>
          <cell r="H56">
            <v>25</v>
          </cell>
        </row>
        <row r="57">
          <cell r="A57" t="str">
            <v>c</v>
          </cell>
          <cell r="B57" t="str">
            <v>Turbine</v>
          </cell>
          <cell r="C57" t="str">
            <v>%</v>
          </cell>
          <cell r="D57">
            <v>1.1000000000000001</v>
          </cell>
          <cell r="E57">
            <v>0.98</v>
          </cell>
          <cell r="F57">
            <v>1.42</v>
          </cell>
          <cell r="G57">
            <v>1.06</v>
          </cell>
          <cell r="H57">
            <v>13.2</v>
          </cell>
        </row>
        <row r="58">
          <cell r="A58" t="str">
            <v>d</v>
          </cell>
          <cell r="B58" t="str">
            <v>Turbine Auxiliaries</v>
          </cell>
          <cell r="C58" t="str">
            <v>%</v>
          </cell>
          <cell r="D58">
            <v>0.9</v>
          </cell>
          <cell r="E58">
            <v>0.49</v>
          </cell>
          <cell r="F58">
            <v>0.42</v>
          </cell>
          <cell r="G58">
            <v>0.63</v>
          </cell>
          <cell r="H58">
            <v>2808.83</v>
          </cell>
        </row>
        <row r="59">
          <cell r="A59" t="str">
            <v>e</v>
          </cell>
          <cell r="B59" t="str">
            <v>Generator</v>
          </cell>
          <cell r="C59" t="str">
            <v>%</v>
          </cell>
          <cell r="D59">
            <v>0.3</v>
          </cell>
          <cell r="E59">
            <v>0.27</v>
          </cell>
          <cell r="F59">
            <v>0.2</v>
          </cell>
          <cell r="G59">
            <v>0.48</v>
          </cell>
          <cell r="H59">
            <v>669</v>
          </cell>
        </row>
        <row r="60">
          <cell r="A60" t="str">
            <v>f</v>
          </cell>
          <cell r="B60" t="str">
            <v>Electrical</v>
          </cell>
          <cell r="C60" t="str">
            <v>%</v>
          </cell>
          <cell r="D60">
            <v>0.8</v>
          </cell>
          <cell r="E60">
            <v>1.96</v>
          </cell>
          <cell r="F60">
            <v>2.1</v>
          </cell>
          <cell r="G60">
            <v>0.81</v>
          </cell>
          <cell r="H60">
            <v>9.1300000000000008</v>
          </cell>
        </row>
        <row r="61">
          <cell r="A61" t="str">
            <v>g</v>
          </cell>
          <cell r="B61" t="str">
            <v>Coal related (Quality ,Quantity ,Handling ,wet coal)</v>
          </cell>
          <cell r="C61" t="str">
            <v>%</v>
          </cell>
          <cell r="D61">
            <v>3.3</v>
          </cell>
          <cell r="E61">
            <v>2.4900000000000002</v>
          </cell>
          <cell r="F61">
            <v>1.19</v>
          </cell>
          <cell r="G61">
            <v>1.6</v>
          </cell>
          <cell r="H61">
            <v>1426.91</v>
          </cell>
        </row>
        <row r="62">
          <cell r="A62" t="str">
            <v>h</v>
          </cell>
          <cell r="B62" t="str">
            <v>Others</v>
          </cell>
          <cell r="C62" t="str">
            <v>%</v>
          </cell>
          <cell r="D62">
            <v>0.1</v>
          </cell>
          <cell r="E62">
            <v>0</v>
          </cell>
          <cell r="F62">
            <v>0</v>
          </cell>
          <cell r="G62">
            <v>0.2</v>
          </cell>
          <cell r="H62">
            <v>157</v>
          </cell>
        </row>
        <row r="63">
          <cell r="A63">
            <v>7</v>
          </cell>
          <cell r="B63" t="str">
            <v xml:space="preserve">Planned  Outage         Rate          </v>
          </cell>
          <cell r="C63" t="str">
            <v>MU</v>
          </cell>
          <cell r="D63">
            <v>4231.29</v>
          </cell>
          <cell r="E63">
            <v>3432.3410099999996</v>
          </cell>
          <cell r="F63">
            <v>3544</v>
          </cell>
          <cell r="G63">
            <v>3784.7</v>
          </cell>
          <cell r="H63">
            <v>4061.5740000000001</v>
          </cell>
        </row>
        <row r="64">
          <cell r="A64" t="str">
            <v>a</v>
          </cell>
          <cell r="C64" t="str">
            <v>No</v>
          </cell>
          <cell r="D64">
            <v>24</v>
          </cell>
          <cell r="E64">
            <v>24</v>
          </cell>
          <cell r="F64">
            <v>20</v>
          </cell>
          <cell r="G64">
            <v>24</v>
          </cell>
          <cell r="H64">
            <v>24</v>
          </cell>
        </row>
        <row r="65">
          <cell r="A65" t="str">
            <v>b</v>
          </cell>
          <cell r="B65" t="str">
            <v xml:space="preserve">                                                       **</v>
          </cell>
          <cell r="C65" t="str">
            <v>%</v>
          </cell>
          <cell r="D65">
            <v>15.62</v>
          </cell>
          <cell r="E65">
            <v>12.67</v>
          </cell>
          <cell r="F65">
            <v>13.08</v>
          </cell>
          <cell r="G65">
            <v>13.05</v>
          </cell>
          <cell r="H65">
            <v>13.2</v>
          </cell>
        </row>
        <row r="66">
          <cell r="A66">
            <v>8</v>
          </cell>
          <cell r="B66" t="str">
            <v xml:space="preserve">Forced   Outage   </v>
          </cell>
          <cell r="C66" t="str">
            <v>MU</v>
          </cell>
          <cell r="D66">
            <v>2568.61</v>
          </cell>
          <cell r="E66">
            <v>2988.0600899999995</v>
          </cell>
          <cell r="F66">
            <v>2626.63</v>
          </cell>
          <cell r="G66">
            <v>2200.5</v>
          </cell>
          <cell r="H66">
            <v>4061.5740000000001</v>
          </cell>
        </row>
        <row r="67">
          <cell r="A67" t="str">
            <v>a</v>
          </cell>
          <cell r="C67" t="str">
            <v>No</v>
          </cell>
          <cell r="D67">
            <v>679</v>
          </cell>
          <cell r="E67">
            <v>662</v>
          </cell>
          <cell r="F67">
            <v>618</v>
          </cell>
          <cell r="G67">
            <v>570</v>
          </cell>
          <cell r="H67">
            <v>669</v>
          </cell>
        </row>
        <row r="68">
          <cell r="A68" t="str">
            <v>b</v>
          </cell>
          <cell r="B68" t="str">
            <v xml:space="preserve">                                                      **</v>
          </cell>
          <cell r="C68" t="str">
            <v>%</v>
          </cell>
          <cell r="D68">
            <v>9.48</v>
          </cell>
          <cell r="E68">
            <v>11.03</v>
          </cell>
          <cell r="F68">
            <v>9.69</v>
          </cell>
          <cell r="G68">
            <v>7.84</v>
          </cell>
          <cell r="H68">
            <v>9.1300000000000008</v>
          </cell>
        </row>
        <row r="69">
          <cell r="A69" t="str">
            <v>c</v>
          </cell>
          <cell r="B69" t="str">
            <v>Boiler Tube Leakages</v>
          </cell>
          <cell r="C69" t="str">
            <v>MU</v>
          </cell>
          <cell r="D69">
            <v>1719</v>
          </cell>
          <cell r="E69">
            <v>1560.40128</v>
          </cell>
          <cell r="F69">
            <v>1408.83</v>
          </cell>
          <cell r="G69">
            <v>1466.97</v>
          </cell>
          <cell r="H69">
            <v>1426.91</v>
          </cell>
        </row>
        <row r="70">
          <cell r="A70" t="str">
            <v>d</v>
          </cell>
          <cell r="C70" t="str">
            <v>No</v>
          </cell>
          <cell r="D70">
            <v>185</v>
          </cell>
          <cell r="E70">
            <v>197</v>
          </cell>
          <cell r="F70">
            <v>191</v>
          </cell>
          <cell r="G70">
            <v>184</v>
          </cell>
          <cell r="H70">
            <v>157</v>
          </cell>
        </row>
        <row r="71">
          <cell r="A71" t="str">
            <v>e</v>
          </cell>
          <cell r="C71" t="str">
            <v>%</v>
          </cell>
          <cell r="D71">
            <v>6.34</v>
          </cell>
          <cell r="E71">
            <v>5.76</v>
          </cell>
          <cell r="F71">
            <v>5.2</v>
          </cell>
          <cell r="G71">
            <v>5.4</v>
          </cell>
          <cell r="H71">
            <v>4.6399999999999997</v>
          </cell>
        </row>
        <row r="72">
          <cell r="A72">
            <v>9</v>
          </cell>
          <cell r="B72" t="str">
            <v>Total          Coal           Consumption</v>
          </cell>
          <cell r="C72" t="str">
            <v>1000MT</v>
          </cell>
          <cell r="D72">
            <v>13482.3</v>
          </cell>
          <cell r="E72">
            <v>14265.226000000001</v>
          </cell>
          <cell r="F72">
            <v>14547.769</v>
          </cell>
          <cell r="G72">
            <v>15648.859</v>
          </cell>
          <cell r="H72">
            <v>16020.288</v>
          </cell>
        </row>
        <row r="73">
          <cell r="A73">
            <v>10</v>
          </cell>
          <cell r="B73" t="str">
            <v xml:space="preserve">COST OF  Coal consumed @ Rs 800 /MT </v>
          </cell>
          <cell r="C73" t="str">
            <v>Cr Rs.</v>
          </cell>
          <cell r="D73">
            <v>1078.5840000000001</v>
          </cell>
          <cell r="E73">
            <v>1141.2180800000001</v>
          </cell>
          <cell r="F73">
            <v>1163.82152</v>
          </cell>
          <cell r="G73">
            <v>1251.9087200000001</v>
          </cell>
          <cell r="H73">
            <v>1281.6230399999999</v>
          </cell>
        </row>
        <row r="74">
          <cell r="A74">
            <v>11</v>
          </cell>
          <cell r="B74" t="str">
            <v>Specific    Coal           Consumption</v>
          </cell>
          <cell r="C74" t="str">
            <v>Kg/Kwh</v>
          </cell>
          <cell r="D74">
            <v>0.8</v>
          </cell>
          <cell r="E74">
            <v>0.79</v>
          </cell>
          <cell r="F74">
            <v>0.79</v>
          </cell>
          <cell r="G74">
            <v>0.78</v>
          </cell>
          <cell r="H74">
            <v>0.78</v>
          </cell>
        </row>
        <row r="75">
          <cell r="A75">
            <v>12</v>
          </cell>
          <cell r="B75" t="str">
            <v>Total          Fuel Oil     Consumption</v>
          </cell>
          <cell r="C75" t="str">
            <v>1000KL</v>
          </cell>
          <cell r="D75">
            <v>86.83</v>
          </cell>
          <cell r="E75">
            <v>66.355000000000004</v>
          </cell>
          <cell r="F75">
            <v>51.347000000000001</v>
          </cell>
          <cell r="G75">
            <v>58.731999999999999</v>
          </cell>
          <cell r="H75">
            <v>65.579260000000005</v>
          </cell>
        </row>
        <row r="76">
          <cell r="A76">
            <v>13</v>
          </cell>
          <cell r="B76" t="str">
            <v>COST OF  Fuel oil consumed  @ Rs 7500 per MT</v>
          </cell>
          <cell r="C76" t="str">
            <v>Cr Rs.</v>
          </cell>
          <cell r="D76">
            <v>65.122500000000002</v>
          </cell>
          <cell r="E76">
            <v>49.766250000000007</v>
          </cell>
          <cell r="F76">
            <v>38.510250000000006</v>
          </cell>
          <cell r="G76">
            <v>44.048999999999999</v>
          </cell>
          <cell r="H76">
            <v>49.184445000000004</v>
          </cell>
        </row>
        <row r="77">
          <cell r="A77">
            <v>14</v>
          </cell>
          <cell r="B77" t="str">
            <v xml:space="preserve">Specific    Fuel Oil      Consumption </v>
          </cell>
          <cell r="C77" t="str">
            <v>ml/Kwh</v>
          </cell>
          <cell r="D77">
            <v>5.15</v>
          </cell>
          <cell r="E77">
            <v>3.69</v>
          </cell>
          <cell r="F77">
            <v>2.78</v>
          </cell>
          <cell r="G77">
            <v>2.29</v>
          </cell>
          <cell r="H77">
            <v>3.22</v>
          </cell>
        </row>
        <row r="78">
          <cell r="A78">
            <v>15</v>
          </cell>
          <cell r="B78" t="str">
            <v>Cost of  Fuels  per  Kwh  Generated</v>
          </cell>
          <cell r="C78" t="str">
            <v>Paise</v>
          </cell>
          <cell r="D78">
            <v>67.807466308412231</v>
          </cell>
          <cell r="E78">
            <v>66.288429706067333</v>
          </cell>
          <cell r="F78">
            <v>65.091569719441793</v>
          </cell>
          <cell r="G78">
            <v>64.326948410685389</v>
          </cell>
          <cell r="H78">
            <v>65.184887114889449</v>
          </cell>
        </row>
        <row r="79">
          <cell r="A79">
            <v>16</v>
          </cell>
          <cell r="B79" t="str">
            <v>Thermal  Auxiliary Consumption   Total</v>
          </cell>
          <cell r="C79" t="str">
            <v>MU</v>
          </cell>
          <cell r="D79">
            <v>1650.79</v>
          </cell>
          <cell r="E79">
            <v>1766.22</v>
          </cell>
          <cell r="F79">
            <v>1783.99</v>
          </cell>
          <cell r="G79">
            <v>1952.78</v>
          </cell>
          <cell r="H79">
            <v>1982.05</v>
          </cell>
        </row>
        <row r="80">
          <cell r="A80">
            <v>17</v>
          </cell>
          <cell r="B80" t="str">
            <v>Thermal  Auxiliary Consumption   Percentage</v>
          </cell>
          <cell r="C80" t="str">
            <v>%</v>
          </cell>
          <cell r="D80">
            <v>9.7871164767590138</v>
          </cell>
          <cell r="E80">
            <v>9.8305197949539984</v>
          </cell>
          <cell r="F80">
            <v>9.66</v>
          </cell>
          <cell r="G80">
            <v>9.69</v>
          </cell>
          <cell r="H80">
            <v>9.7100000000000009</v>
          </cell>
        </row>
        <row r="81">
          <cell r="A81">
            <v>18</v>
          </cell>
          <cell r="B81" t="str">
            <v>Cost of  Fuels  per  Kwh  sent out</v>
          </cell>
          <cell r="C81" t="str">
            <v>Paise</v>
          </cell>
          <cell r="D81">
            <v>75.163838755850691</v>
          </cell>
          <cell r="E81">
            <v>73.515373001293781</v>
          </cell>
          <cell r="F81">
            <v>72.050275657082594</v>
          </cell>
          <cell r="G81">
            <v>71.231359969747686</v>
          </cell>
          <cell r="H81">
            <v>72.193720082196648</v>
          </cell>
        </row>
        <row r="82">
          <cell r="A82" t="str">
            <v>Note :-</v>
          </cell>
        </row>
        <row r="83">
          <cell r="A83">
            <v>1</v>
          </cell>
          <cell r="B83" t="str">
            <v>In 1994-95 &amp;1999-2000specific oil consumption is more due to stablisation of both units of Sanjay Gandhi thermal Power Station.</v>
          </cell>
        </row>
        <row r="84">
          <cell r="A84">
            <v>2</v>
          </cell>
          <cell r="B84" t="str">
            <v xml:space="preserve"> Heavy and unprcedented rains all over resulting in wet coal problems in thermal stations.</v>
          </cell>
          <cell r="F84" t="str">
            <v xml:space="preserve"> </v>
          </cell>
        </row>
        <row r="85">
          <cell r="A85">
            <v>3</v>
          </cell>
          <cell r="B85" t="str">
            <v>Considering SGTPS # 1 wef :  01.01.95  , # 2 wef : 01.04.95 ,.# 3 w.e.f : 01.09.99&amp; # 4 w.e.f : 01.04.2000.</v>
          </cell>
        </row>
        <row r="86">
          <cell r="A86">
            <v>4</v>
          </cell>
          <cell r="B86" t="str">
            <v>Considering  Cost of Coal &amp; Fuel oil same for all the  years for comparision purpose .                                         .</v>
          </cell>
          <cell r="E86" t="str">
            <v xml:space="preserve"> </v>
          </cell>
        </row>
        <row r="87">
          <cell r="A87">
            <v>5</v>
          </cell>
          <cell r="B87" t="str">
            <v>Totals  may  not  tally  due  to  rounding  off.</v>
          </cell>
        </row>
        <row r="89">
          <cell r="A89" t="str">
            <v>EXECUTIVE SUMMARY</v>
          </cell>
        </row>
        <row r="90">
          <cell r="A90" t="str">
            <v>91-92 to 95-96</v>
          </cell>
        </row>
        <row r="91">
          <cell r="A91" t="str">
            <v xml:space="preserve"> HYDEL GENETRATION</v>
          </cell>
        </row>
        <row r="92">
          <cell r="A92" t="str">
            <v xml:space="preserve"> </v>
          </cell>
          <cell r="B92" t="str">
            <v>P A R T I C U L A R S</v>
          </cell>
          <cell r="D92" t="str">
            <v>91-92</v>
          </cell>
          <cell r="E92" t="str">
            <v>92-93</v>
          </cell>
          <cell r="F92" t="str">
            <v>93-94</v>
          </cell>
          <cell r="G92" t="str">
            <v>94-95</v>
          </cell>
          <cell r="H92" t="str">
            <v xml:space="preserve">95-96 </v>
          </cell>
        </row>
        <row r="93">
          <cell r="A93">
            <v>1</v>
          </cell>
          <cell r="B93" t="str">
            <v>Hydel Generation(G'sagar+Pench+Bargi+Tons+ B'pur+HB))</v>
          </cell>
          <cell r="C93" t="str">
            <v>MU</v>
          </cell>
          <cell r="D93">
            <v>1324.15</v>
          </cell>
          <cell r="E93">
            <v>1295.48</v>
          </cell>
          <cell r="F93">
            <v>1589.68</v>
          </cell>
          <cell r="G93">
            <v>2280.4742339999998</v>
          </cell>
          <cell r="H93">
            <v>2141.34</v>
          </cell>
        </row>
        <row r="94">
          <cell r="A94">
            <v>2</v>
          </cell>
          <cell r="B94" t="str">
            <v xml:space="preserve">Target (PLAN )   </v>
          </cell>
          <cell r="C94" t="str">
            <v>MU</v>
          </cell>
          <cell r="D94">
            <v>1771</v>
          </cell>
          <cell r="E94">
            <v>1870</v>
          </cell>
          <cell r="F94">
            <v>1870</v>
          </cell>
          <cell r="G94">
            <v>1965</v>
          </cell>
          <cell r="H94">
            <v>2035</v>
          </cell>
        </row>
        <row r="95">
          <cell r="A95">
            <v>3</v>
          </cell>
          <cell r="B95" t="str">
            <v>ACHIEVEMENT Percentage of ( 2 )</v>
          </cell>
          <cell r="C95" t="str">
            <v>%</v>
          </cell>
          <cell r="D95">
            <v>74.768492377188025</v>
          </cell>
          <cell r="E95">
            <v>69.277005347593587</v>
          </cell>
          <cell r="F95">
            <v>85.009625668449203</v>
          </cell>
          <cell r="G95">
            <v>116.05466839694657</v>
          </cell>
          <cell r="H95">
            <v>105.23</v>
          </cell>
        </row>
        <row r="96">
          <cell r="A96">
            <v>4</v>
          </cell>
          <cell r="B96" t="str">
            <v>Hydel Generation M.P.Share</v>
          </cell>
          <cell r="C96" t="str">
            <v>MU</v>
          </cell>
          <cell r="D96">
            <v>1498.64</v>
          </cell>
          <cell r="E96">
            <v>1511.19</v>
          </cell>
          <cell r="F96">
            <v>1658.26</v>
          </cell>
          <cell r="G96">
            <v>2415.3094620000002</v>
          </cell>
          <cell r="H96">
            <v>2253.15</v>
          </cell>
        </row>
        <row r="97">
          <cell r="A97">
            <v>5</v>
          </cell>
          <cell r="B97" t="str">
            <v xml:space="preserve">Target (PLAN )   </v>
          </cell>
          <cell r="C97" t="str">
            <v>MU</v>
          </cell>
          <cell r="D97">
            <v>1846</v>
          </cell>
          <cell r="E97">
            <v>1938</v>
          </cell>
          <cell r="F97">
            <v>1990</v>
          </cell>
          <cell r="G97">
            <v>1999.9666666666667</v>
          </cell>
          <cell r="H97">
            <v>2059.33</v>
          </cell>
        </row>
        <row r="98">
          <cell r="A98">
            <v>6</v>
          </cell>
          <cell r="B98" t="str">
            <v>ACHIEVEMENT Percentage of ( 5 )</v>
          </cell>
          <cell r="C98" t="str">
            <v>%</v>
          </cell>
          <cell r="D98">
            <v>81.183098591549296</v>
          </cell>
          <cell r="E98">
            <v>77.976780185758514</v>
          </cell>
          <cell r="F98">
            <v>83.32964824120603</v>
          </cell>
          <cell r="G98">
            <v>120.76748589143152</v>
          </cell>
          <cell r="H98">
            <v>109.41</v>
          </cell>
        </row>
        <row r="99">
          <cell r="A99">
            <v>7</v>
          </cell>
          <cell r="B99" t="str">
            <v xml:space="preserve">Reservoir Level at the end </v>
          </cell>
        </row>
        <row r="100">
          <cell r="A100" t="str">
            <v>a</v>
          </cell>
          <cell r="B100" t="str">
            <v>GANDHISAGAR     MDDL   1250.00 Ft</v>
          </cell>
          <cell r="C100" t="str">
            <v>FT</v>
          </cell>
          <cell r="D100">
            <v>1284.51</v>
          </cell>
          <cell r="E100">
            <v>1253.47</v>
          </cell>
          <cell r="F100">
            <v>1250.8900000000001</v>
          </cell>
          <cell r="G100">
            <v>1295.67</v>
          </cell>
          <cell r="H100">
            <v>1288.95</v>
          </cell>
        </row>
        <row r="101">
          <cell r="A101" t="str">
            <v xml:space="preserve"> </v>
          </cell>
          <cell r="B101" t="str">
            <v>Energy   Contents   in   MKwh</v>
          </cell>
          <cell r="C101" t="str">
            <v>MU</v>
          </cell>
          <cell r="D101">
            <v>245</v>
          </cell>
          <cell r="E101">
            <v>14.5</v>
          </cell>
          <cell r="F101">
            <v>3.56</v>
          </cell>
          <cell r="G101">
            <v>408.4</v>
          </cell>
          <cell r="H101">
            <v>310</v>
          </cell>
        </row>
        <row r="102">
          <cell r="A102" t="str">
            <v>b</v>
          </cell>
          <cell r="B102" t="str">
            <v>PENCH           MDDL    464.50 M</v>
          </cell>
          <cell r="C102" t="str">
            <v>M</v>
          </cell>
          <cell r="D102">
            <v>464.42</v>
          </cell>
          <cell r="E102">
            <v>474.87</v>
          </cell>
          <cell r="F102">
            <v>483.64</v>
          </cell>
          <cell r="G102">
            <v>482.5</v>
          </cell>
          <cell r="H102">
            <v>472.9</v>
          </cell>
        </row>
        <row r="103">
          <cell r="A103" t="str">
            <v xml:space="preserve"> </v>
          </cell>
          <cell r="B103" t="str">
            <v>Energy   Contents   in   MKwh</v>
          </cell>
          <cell r="C103" t="str">
            <v>MU</v>
          </cell>
          <cell r="D103">
            <v>2.5</v>
          </cell>
          <cell r="E103">
            <v>83</v>
          </cell>
          <cell r="F103">
            <v>222.16</v>
          </cell>
          <cell r="G103">
            <v>202</v>
          </cell>
          <cell r="H103">
            <v>63</v>
          </cell>
        </row>
        <row r="104">
          <cell r="A104" t="str">
            <v>c</v>
          </cell>
          <cell r="B104" t="str">
            <v>BARGI           MDDL    403.50 M</v>
          </cell>
          <cell r="C104" t="str">
            <v>M</v>
          </cell>
          <cell r="D104">
            <v>409</v>
          </cell>
          <cell r="E104">
            <v>414.4</v>
          </cell>
          <cell r="F104">
            <v>413.55</v>
          </cell>
          <cell r="G104">
            <v>418.15</v>
          </cell>
          <cell r="H104">
            <v>411.8</v>
          </cell>
        </row>
        <row r="105">
          <cell r="A105" t="str">
            <v xml:space="preserve"> </v>
          </cell>
          <cell r="B105" t="str">
            <v>Energy   Contents   in   MKwh</v>
          </cell>
          <cell r="C105" t="str">
            <v>MU</v>
          </cell>
          <cell r="D105">
            <v>44</v>
          </cell>
          <cell r="E105">
            <v>113</v>
          </cell>
          <cell r="F105">
            <v>100.15</v>
          </cell>
          <cell r="G105">
            <v>192.75</v>
          </cell>
          <cell r="H105">
            <v>77</v>
          </cell>
        </row>
        <row r="106">
          <cell r="A106" t="str">
            <v>d</v>
          </cell>
          <cell r="B106" t="str">
            <v>TONS            MDDL    275.00 M</v>
          </cell>
          <cell r="C106" t="str">
            <v>M</v>
          </cell>
          <cell r="F106">
            <v>277.10000000000002</v>
          </cell>
          <cell r="G106">
            <v>277.3</v>
          </cell>
          <cell r="H106">
            <v>277.3</v>
          </cell>
        </row>
        <row r="107">
          <cell r="A107" t="str">
            <v xml:space="preserve"> </v>
          </cell>
          <cell r="B107" t="str">
            <v>Energy   Contents   in   MKwh</v>
          </cell>
          <cell r="C107" t="str">
            <v>MU</v>
          </cell>
          <cell r="F107">
            <v>1.1279999999999999</v>
          </cell>
          <cell r="G107">
            <v>0</v>
          </cell>
          <cell r="H107">
            <v>0</v>
          </cell>
        </row>
        <row r="108">
          <cell r="A108" t="str">
            <v>e</v>
          </cell>
          <cell r="B108" t="str">
            <v>BIRSINGHPUR     MDDL    471.00 M</v>
          </cell>
          <cell r="C108" t="str">
            <v>M</v>
          </cell>
          <cell r="F108">
            <v>475.97</v>
          </cell>
          <cell r="G108">
            <v>475.1</v>
          </cell>
          <cell r="H108">
            <v>475.34</v>
          </cell>
        </row>
        <row r="109">
          <cell r="A109" t="str">
            <v xml:space="preserve"> </v>
          </cell>
          <cell r="B109" t="str">
            <v>Energy   Contents   in   MKwh</v>
          </cell>
          <cell r="C109" t="str">
            <v>MU</v>
          </cell>
          <cell r="F109">
            <v>4.7477</v>
          </cell>
          <cell r="G109">
            <v>4.5209999999999999</v>
          </cell>
          <cell r="H109">
            <v>4.5</v>
          </cell>
        </row>
        <row r="110">
          <cell r="A110" t="str">
            <v>f</v>
          </cell>
          <cell r="B110" t="str">
            <v>HASDEO-BANGO    MDDL    329.79 M</v>
          </cell>
          <cell r="C110" t="str">
            <v>M</v>
          </cell>
          <cell r="F110" t="str">
            <v>N.A.</v>
          </cell>
          <cell r="G110">
            <v>353.12</v>
          </cell>
          <cell r="H110">
            <v>347.98</v>
          </cell>
        </row>
        <row r="111">
          <cell r="A111" t="str">
            <v xml:space="preserve"> </v>
          </cell>
          <cell r="B111" t="str">
            <v>Energy   Contents   in   MKwh</v>
          </cell>
          <cell r="C111" t="str">
            <v>MU</v>
          </cell>
          <cell r="F111" t="str">
            <v>-</v>
          </cell>
          <cell r="G111">
            <v>152.76295999999999</v>
          </cell>
          <cell r="H111">
            <v>94</v>
          </cell>
        </row>
        <row r="112">
          <cell r="A112" t="str">
            <v>g</v>
          </cell>
          <cell r="B112" t="str">
            <v xml:space="preserve">RAJGHAT     MDDL    </v>
          </cell>
          <cell r="C112" t="str">
            <v>M</v>
          </cell>
          <cell r="F112" t="str">
            <v>N.A.</v>
          </cell>
          <cell r="G112">
            <v>353.12</v>
          </cell>
          <cell r="H112" t="str">
            <v xml:space="preserve"> </v>
          </cell>
        </row>
        <row r="113">
          <cell r="A113" t="str">
            <v xml:space="preserve"> </v>
          </cell>
          <cell r="B113" t="str">
            <v>Energy   Contents   in   MKwh</v>
          </cell>
          <cell r="C113" t="str">
            <v>MU</v>
          </cell>
          <cell r="F113" t="str">
            <v>-</v>
          </cell>
          <cell r="G113">
            <v>152.76295999999999</v>
          </cell>
          <cell r="H113" t="str">
            <v xml:space="preserve"> </v>
          </cell>
        </row>
        <row r="114">
          <cell r="A114" t="str">
            <v xml:space="preserve"> </v>
          </cell>
          <cell r="B114" t="str">
            <v>M.P.E.B. GENERATION  AS PER SHARE</v>
          </cell>
        </row>
        <row r="115">
          <cell r="A115">
            <v>1</v>
          </cell>
          <cell r="B115" t="str">
            <v>THERMAL  ( Excl. 40% Satpura I)</v>
          </cell>
          <cell r="C115" t="str">
            <v>MU</v>
          </cell>
          <cell r="D115">
            <v>11025.74</v>
          </cell>
          <cell r="E115">
            <v>11747.67</v>
          </cell>
          <cell r="F115">
            <v>12723.74</v>
          </cell>
          <cell r="G115">
            <v>14182.079879999999</v>
          </cell>
          <cell r="H115">
            <v>15345.74</v>
          </cell>
        </row>
        <row r="116">
          <cell r="A116">
            <v>2</v>
          </cell>
          <cell r="B116" t="str">
            <v>HYDEL    ( Excl. 50 % Chambal &amp; 1/3 Pench )</v>
          </cell>
          <cell r="C116" t="str">
            <v>MU</v>
          </cell>
          <cell r="D116">
            <v>1498.64</v>
          </cell>
          <cell r="E116">
            <v>1511.49</v>
          </cell>
          <cell r="F116">
            <v>1658.26</v>
          </cell>
          <cell r="G116">
            <v>2415.3094620000002</v>
          </cell>
          <cell r="H116">
            <v>2253.15</v>
          </cell>
        </row>
        <row r="117">
          <cell r="A117">
            <v>3</v>
          </cell>
          <cell r="B117" t="str">
            <v>TOTAL</v>
          </cell>
          <cell r="C117" t="str">
            <v>MU</v>
          </cell>
          <cell r="D117">
            <v>12524.38</v>
          </cell>
          <cell r="E117">
            <v>13259.16</v>
          </cell>
          <cell r="F117">
            <v>14382</v>
          </cell>
          <cell r="G117">
            <v>16597.389341999999</v>
          </cell>
          <cell r="H117">
            <v>17598.88</v>
          </cell>
        </row>
        <row r="118">
          <cell r="A118" t="str">
            <v>Note :-</v>
          </cell>
          <cell r="B118" t="str">
            <v>1.Heavy and good rains resulted in more secondary generation in Hydel Stations in Year 1994-95</v>
          </cell>
        </row>
        <row r="119">
          <cell r="A119" t="str">
            <v>Note :-</v>
          </cell>
          <cell r="B119" t="str">
            <v>2.Intermittent rains practically every month resulted in building up level and non utilisation of water due to lack of demand in 1997-98.</v>
          </cell>
        </row>
        <row r="120">
          <cell r="A120" t="str">
            <v>EXECUTIVE SUMMARY</v>
          </cell>
        </row>
        <row r="121">
          <cell r="A121" t="str">
            <v>96-97 to 00-01</v>
          </cell>
        </row>
        <row r="122">
          <cell r="A122" t="str">
            <v xml:space="preserve"> HYDEL GENETRATION</v>
          </cell>
        </row>
        <row r="123">
          <cell r="A123" t="str">
            <v xml:space="preserve"> </v>
          </cell>
          <cell r="B123" t="str">
            <v>P A R T I C U L A R S</v>
          </cell>
          <cell r="D123" t="str">
            <v>96-97</v>
          </cell>
          <cell r="E123" t="str">
            <v>97-98</v>
          </cell>
          <cell r="F123" t="str">
            <v>98-99</v>
          </cell>
          <cell r="G123" t="str">
            <v>99-00</v>
          </cell>
          <cell r="H123" t="str">
            <v>00-01</v>
          </cell>
        </row>
        <row r="124">
          <cell r="A124">
            <v>1</v>
          </cell>
          <cell r="B124" t="str">
            <v>Hydel Generation(G'sagar+Pench+Bargi+Tons+ B'pur+HB))</v>
          </cell>
          <cell r="C124" t="str">
            <v>MU</v>
          </cell>
          <cell r="D124">
            <v>2067.65</v>
          </cell>
          <cell r="E124">
            <v>2232.69</v>
          </cell>
          <cell r="F124">
            <v>2833.73</v>
          </cell>
          <cell r="G124">
            <v>2459.5</v>
          </cell>
          <cell r="H124">
            <v>1824.28</v>
          </cell>
        </row>
        <row r="125">
          <cell r="A125">
            <v>2</v>
          </cell>
          <cell r="B125" t="str">
            <v xml:space="preserve">Target (PLAN )   </v>
          </cell>
          <cell r="C125" t="str">
            <v>MU</v>
          </cell>
          <cell r="D125">
            <v>2195</v>
          </cell>
          <cell r="E125">
            <v>2195</v>
          </cell>
          <cell r="F125">
            <v>2275</v>
          </cell>
          <cell r="G125">
            <v>2440</v>
          </cell>
          <cell r="H125">
            <v>2480</v>
          </cell>
        </row>
        <row r="126">
          <cell r="A126">
            <v>3</v>
          </cell>
          <cell r="B126" t="str">
            <v>ACHIEVEMENT Percentage of ( 2 )</v>
          </cell>
          <cell r="C126" t="str">
            <v>%</v>
          </cell>
          <cell r="D126">
            <v>94.198177676537583</v>
          </cell>
          <cell r="E126">
            <v>101.71708428246014</v>
          </cell>
          <cell r="F126">
            <v>124.56</v>
          </cell>
          <cell r="G126">
            <v>124.56</v>
          </cell>
          <cell r="H126">
            <v>73.559677419354841</v>
          </cell>
        </row>
        <row r="127">
          <cell r="A127">
            <v>4</v>
          </cell>
          <cell r="B127" t="str">
            <v>Hydel Generation M.P.Share</v>
          </cell>
          <cell r="C127" t="str">
            <v>MU</v>
          </cell>
          <cell r="D127">
            <v>2274.37</v>
          </cell>
          <cell r="E127">
            <v>2324.88</v>
          </cell>
          <cell r="F127">
            <v>2850.57</v>
          </cell>
          <cell r="G127">
            <v>2507.1999999999998</v>
          </cell>
          <cell r="H127">
            <v>1809.98</v>
          </cell>
        </row>
        <row r="128">
          <cell r="A128">
            <v>5</v>
          </cell>
          <cell r="B128" t="str">
            <v xml:space="preserve">Target (PLAN )   </v>
          </cell>
          <cell r="C128" t="str">
            <v>MU</v>
          </cell>
          <cell r="D128">
            <v>2200</v>
          </cell>
          <cell r="E128">
            <v>2200</v>
          </cell>
          <cell r="F128">
            <v>2300</v>
          </cell>
          <cell r="G128">
            <v>2385</v>
          </cell>
          <cell r="H128">
            <v>2424.17</v>
          </cell>
        </row>
        <row r="129">
          <cell r="A129">
            <v>6</v>
          </cell>
          <cell r="B129" t="str">
            <v>ACHIEVEMENT Percentage of ( 5 )</v>
          </cell>
          <cell r="C129" t="str">
            <v>%</v>
          </cell>
          <cell r="D129">
            <v>103.38045454545454</v>
          </cell>
          <cell r="E129">
            <v>105.67636363636363</v>
          </cell>
          <cell r="F129">
            <v>123.94</v>
          </cell>
          <cell r="G129">
            <v>123.94</v>
          </cell>
          <cell r="H129">
            <v>74.663905584179332</v>
          </cell>
        </row>
        <row r="130">
          <cell r="A130">
            <v>7</v>
          </cell>
          <cell r="B130" t="str">
            <v xml:space="preserve">Reservoir Level at the end </v>
          </cell>
        </row>
        <row r="131">
          <cell r="A131" t="str">
            <v>a</v>
          </cell>
          <cell r="B131" t="str">
            <v>GANDHISAGAR     MDDL   1250.00 Ft</v>
          </cell>
          <cell r="C131" t="str">
            <v>FT</v>
          </cell>
          <cell r="D131">
            <v>1291.08</v>
          </cell>
          <cell r="E131">
            <v>1295.8</v>
          </cell>
          <cell r="F131">
            <v>1272.98</v>
          </cell>
          <cell r="G131">
            <v>1265.2</v>
          </cell>
          <cell r="H131">
            <v>1248.69</v>
          </cell>
        </row>
        <row r="132">
          <cell r="A132" t="str">
            <v xml:space="preserve"> </v>
          </cell>
          <cell r="B132" t="str">
            <v>Energy   Contents   in   MKwh</v>
          </cell>
          <cell r="C132" t="str">
            <v>MU</v>
          </cell>
          <cell r="D132">
            <v>336.2</v>
          </cell>
          <cell r="E132">
            <v>411</v>
          </cell>
          <cell r="F132">
            <v>130.84</v>
          </cell>
          <cell r="G132">
            <v>75.400000000000006</v>
          </cell>
          <cell r="H132">
            <v>0</v>
          </cell>
        </row>
        <row r="133">
          <cell r="A133" t="str">
            <v>b</v>
          </cell>
          <cell r="B133" t="str">
            <v>PENCH           MDDL    464.50 M</v>
          </cell>
          <cell r="C133" t="str">
            <v>M</v>
          </cell>
          <cell r="D133">
            <v>467.3</v>
          </cell>
          <cell r="E133">
            <v>486.66</v>
          </cell>
          <cell r="F133">
            <v>481.29</v>
          </cell>
          <cell r="G133">
            <v>478.86</v>
          </cell>
          <cell r="H133">
            <v>463.46</v>
          </cell>
        </row>
        <row r="134">
          <cell r="A134" t="str">
            <v xml:space="preserve"> </v>
          </cell>
          <cell r="B134" t="str">
            <v>Energy   Contents   in   MKwh</v>
          </cell>
          <cell r="C134" t="str">
            <v>MU</v>
          </cell>
          <cell r="D134">
            <v>18.8</v>
          </cell>
          <cell r="E134">
            <v>289.5</v>
          </cell>
          <cell r="F134">
            <v>177.93</v>
          </cell>
          <cell r="G134">
            <v>137.9</v>
          </cell>
          <cell r="H134">
            <v>0</v>
          </cell>
        </row>
        <row r="135">
          <cell r="A135" t="str">
            <v>c</v>
          </cell>
          <cell r="B135" t="str">
            <v>BARGI           MDDL    403.50 M</v>
          </cell>
          <cell r="C135" t="str">
            <v>M</v>
          </cell>
          <cell r="D135">
            <v>411.35</v>
          </cell>
          <cell r="E135">
            <v>416.75</v>
          </cell>
          <cell r="F135">
            <v>410.45</v>
          </cell>
          <cell r="G135">
            <v>411.05</v>
          </cell>
          <cell r="H135">
            <v>410</v>
          </cell>
        </row>
        <row r="136">
          <cell r="A136" t="str">
            <v xml:space="preserve"> </v>
          </cell>
          <cell r="B136" t="str">
            <v>Energy   Contents   in   MKwh</v>
          </cell>
          <cell r="C136" t="str">
            <v>MU</v>
          </cell>
          <cell r="D136">
            <v>71.55</v>
          </cell>
          <cell r="E136">
            <v>160.75</v>
          </cell>
          <cell r="F136">
            <v>60.4</v>
          </cell>
          <cell r="G136">
            <v>67.650000000000006</v>
          </cell>
          <cell r="H136">
            <v>55</v>
          </cell>
        </row>
        <row r="137">
          <cell r="A137" t="str">
            <v>d</v>
          </cell>
          <cell r="B137" t="str">
            <v>TONS            MDDL    275.00 M</v>
          </cell>
          <cell r="C137" t="str">
            <v>M</v>
          </cell>
          <cell r="D137">
            <v>277.3</v>
          </cell>
          <cell r="E137">
            <v>277.2</v>
          </cell>
          <cell r="F137">
            <v>277</v>
          </cell>
          <cell r="G137">
            <v>275</v>
          </cell>
          <cell r="H137">
            <v>276.3</v>
          </cell>
        </row>
        <row r="138">
          <cell r="A138" t="str">
            <v xml:space="preserve"> </v>
          </cell>
          <cell r="B138" t="str">
            <v>Energy   Contents   in   MKwh</v>
          </cell>
          <cell r="C138" t="str">
            <v>MU</v>
          </cell>
          <cell r="D138">
            <v>0</v>
          </cell>
          <cell r="E138">
            <v>0</v>
          </cell>
          <cell r="F138">
            <v>0</v>
          </cell>
          <cell r="G138">
            <v>0</v>
          </cell>
          <cell r="H138">
            <v>0.87</v>
          </cell>
        </row>
        <row r="139">
          <cell r="A139" t="str">
            <v>e</v>
          </cell>
          <cell r="B139" t="str">
            <v>BIRSINGHPUR     MDDL    471.00 M</v>
          </cell>
          <cell r="C139" t="str">
            <v>M</v>
          </cell>
          <cell r="D139">
            <v>475.01</v>
          </cell>
          <cell r="E139">
            <v>475.65</v>
          </cell>
          <cell r="F139">
            <v>474.63</v>
          </cell>
          <cell r="G139">
            <v>475.73</v>
          </cell>
          <cell r="H139">
            <v>474.48</v>
          </cell>
        </row>
        <row r="140">
          <cell r="A140" t="str">
            <v xml:space="preserve"> </v>
          </cell>
          <cell r="B140" t="str">
            <v>Energy   Contents   in   MKwh</v>
          </cell>
          <cell r="C140" t="str">
            <v>MU</v>
          </cell>
          <cell r="D140">
            <v>4.41</v>
          </cell>
          <cell r="E140">
            <v>5.95</v>
          </cell>
          <cell r="F140">
            <v>3.95</v>
          </cell>
          <cell r="G140">
            <v>5.27</v>
          </cell>
          <cell r="H140">
            <v>3.78</v>
          </cell>
        </row>
        <row r="141">
          <cell r="A141" t="str">
            <v>f</v>
          </cell>
          <cell r="B141" t="str">
            <v>HASDEO-BANGO    MDDL    329.79 M</v>
          </cell>
          <cell r="C141" t="str">
            <v>M</v>
          </cell>
          <cell r="D141">
            <v>345</v>
          </cell>
          <cell r="E141">
            <v>355.56</v>
          </cell>
          <cell r="F141">
            <v>334.51</v>
          </cell>
          <cell r="G141">
            <v>344.57</v>
          </cell>
          <cell r="H141">
            <v>345.48</v>
          </cell>
        </row>
        <row r="142">
          <cell r="A142" t="str">
            <v xml:space="preserve"> </v>
          </cell>
          <cell r="B142" t="str">
            <v>Energy   Contents   in   MKwh</v>
          </cell>
          <cell r="C142" t="str">
            <v>MU</v>
          </cell>
          <cell r="D142">
            <v>68</v>
          </cell>
          <cell r="E142">
            <v>187.4</v>
          </cell>
          <cell r="F142">
            <v>13.18</v>
          </cell>
          <cell r="G142">
            <v>64.849999999999994</v>
          </cell>
          <cell r="H142">
            <v>71.36</v>
          </cell>
        </row>
        <row r="143">
          <cell r="A143" t="str">
            <v>g</v>
          </cell>
          <cell r="B143" t="str">
            <v xml:space="preserve">RAJGHAT     MDDL    </v>
          </cell>
          <cell r="C143" t="str">
            <v>M</v>
          </cell>
          <cell r="D143" t="str">
            <v xml:space="preserve"> </v>
          </cell>
          <cell r="E143" t="str">
            <v xml:space="preserve"> </v>
          </cell>
          <cell r="F143" t="str">
            <v xml:space="preserve"> </v>
          </cell>
          <cell r="G143" t="str">
            <v xml:space="preserve"> </v>
          </cell>
          <cell r="H143" t="str">
            <v xml:space="preserve"> </v>
          </cell>
        </row>
        <row r="144">
          <cell r="A144" t="str">
            <v xml:space="preserve"> </v>
          </cell>
          <cell r="B144" t="str">
            <v>Energy   Contents   in   MKwh</v>
          </cell>
          <cell r="C144" t="str">
            <v>MU</v>
          </cell>
          <cell r="D144" t="str">
            <v xml:space="preserve"> </v>
          </cell>
          <cell r="E144" t="str">
            <v xml:space="preserve"> </v>
          </cell>
          <cell r="F144" t="str">
            <v xml:space="preserve"> </v>
          </cell>
          <cell r="G144" t="str">
            <v xml:space="preserve"> </v>
          </cell>
          <cell r="H144">
            <v>0</v>
          </cell>
        </row>
        <row r="145">
          <cell r="A145" t="str">
            <v xml:space="preserve"> </v>
          </cell>
          <cell r="B145" t="str">
            <v>M.P.E.B. GENERATION  AS PER SHARE</v>
          </cell>
        </row>
        <row r="146">
          <cell r="A146">
            <v>1</v>
          </cell>
          <cell r="B146" t="str">
            <v>THERMAL  ( Excl. 40% Satpura I)</v>
          </cell>
          <cell r="C146" t="str">
            <v>MU</v>
          </cell>
          <cell r="D146">
            <v>16139.38</v>
          </cell>
          <cell r="E146">
            <v>17117.55</v>
          </cell>
          <cell r="F146">
            <v>17701.060000000001</v>
          </cell>
          <cell r="G146">
            <v>19305.5</v>
          </cell>
          <cell r="H146">
            <v>19626.939999999999</v>
          </cell>
        </row>
        <row r="147">
          <cell r="A147">
            <v>2</v>
          </cell>
          <cell r="B147" t="str">
            <v>HYDEL    ( Excl. 50 % Chambal &amp; 1/3 Pench )</v>
          </cell>
          <cell r="C147" t="str">
            <v>MU</v>
          </cell>
          <cell r="D147">
            <v>2274.37</v>
          </cell>
          <cell r="E147">
            <v>2324.88</v>
          </cell>
          <cell r="F147">
            <v>2850.57</v>
          </cell>
          <cell r="G147">
            <v>2507.1999999999998</v>
          </cell>
          <cell r="H147">
            <v>1809.98</v>
          </cell>
        </row>
        <row r="148">
          <cell r="A148">
            <v>3</v>
          </cell>
          <cell r="B148" t="str">
            <v>TOTAL</v>
          </cell>
          <cell r="C148" t="str">
            <v>MU</v>
          </cell>
          <cell r="D148">
            <v>18413.75</v>
          </cell>
          <cell r="E148">
            <v>19442.43</v>
          </cell>
          <cell r="F148">
            <v>20551.63</v>
          </cell>
          <cell r="G148">
            <v>21812.7</v>
          </cell>
          <cell r="H148">
            <v>21436.92</v>
          </cell>
        </row>
        <row r="149">
          <cell r="A149" t="str">
            <v>Note :-</v>
          </cell>
          <cell r="B149" t="str">
            <v>1.Heavy and good rains resulted in more secondary generation in Hydel Stations in Year 1994-95</v>
          </cell>
        </row>
        <row r="150">
          <cell r="A150" t="str">
            <v>Note :-</v>
          </cell>
          <cell r="B150" t="str">
            <v>2.Intermittent rains practically every month resulted in building up level and non utilisation of water due to lack of demand in 1997-98.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LU"/>
      <sheetName val="TGL LU"/>
      <sheetName val="Load  &amp; Thermal Curve"/>
    </sheetNames>
    <sheetDataSet>
      <sheetData sheetId="0" refreshError="1"/>
      <sheetData sheetId="1" refreshError="1"/>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현장설계분"/>
      <sheetName val="본사설계분"/>
      <sheetName val="가설배관"/>
      <sheetName val="본사S"/>
      <sheetName val="현장S"/>
      <sheetName val="C1"/>
      <sheetName val="C2"/>
      <sheetName val="공계"/>
      <sheetName val="C3"/>
      <sheetName val="공설"/>
      <sheetName val="C4"/>
      <sheetName val="C5"/>
      <sheetName val="도면"/>
      <sheetName val="C6"/>
      <sheetName val="공정표"/>
      <sheetName val="C7"/>
      <sheetName val="예"/>
      <sheetName val="C8"/>
      <sheetName val="명"/>
      <sheetName val="C9"/>
      <sheetName val="내1가"/>
      <sheetName val="내1다"/>
      <sheetName val="설내"/>
      <sheetName val="소내"/>
      <sheetName val="내2"/>
      <sheetName val="C10"/>
      <sheetName val="품1"/>
      <sheetName val="품2"/>
      <sheetName val="품3"/>
      <sheetName val="설품"/>
      <sheetName val="소품"/>
      <sheetName val="C11"/>
      <sheetName val="산1"/>
      <sheetName val="산2.가.1"/>
      <sheetName val="산2.가.2"/>
      <sheetName val="산2.나"/>
      <sheetName val="설산1.가"/>
      <sheetName val="설산1.나"/>
      <sheetName val="설산2"/>
      <sheetName val="소산1.가"/>
      <sheetName val="소산1.나"/>
      <sheetName val="소산2"/>
      <sheetName val="산3"/>
      <sheetName val="산4"/>
      <sheetName val="산5"/>
      <sheetName val="산6"/>
      <sheetName val="산7"/>
      <sheetName val="산8"/>
      <sheetName val="산9"/>
      <sheetName val="산10"/>
      <sheetName val="산11"/>
      <sheetName val="C12"/>
      <sheetName val="산2_가_1"/>
      <sheetName val="산2_가_2"/>
      <sheetName val="산2_나"/>
      <sheetName val="설산1_가"/>
      <sheetName val="설산1_나"/>
      <sheetName val="소산1_가"/>
      <sheetName val="소산1_나"/>
      <sheetName val="자바라1"/>
      <sheetName val="#REF"/>
      <sheetName val="한전제출1차"/>
      <sheetName val="Charts"/>
      <sheetName val="Financial Estimates"/>
      <sheetName val="excise-i"/>
      <sheetName val="산2_가_11"/>
      <sheetName val="산2_가_21"/>
      <sheetName val="산2_나1"/>
      <sheetName val="설산1_가1"/>
      <sheetName val="설산1_나1"/>
      <sheetName val="소산1_가1"/>
      <sheetName val="소산1_나1"/>
    </sheetNames>
    <sheetDataSet>
      <sheetData sheetId="0" refreshError="1"/>
      <sheetData sheetId="1" refreshError="1"/>
      <sheetData sheetId="2" refreshError="1"/>
      <sheetData sheetId="3" refreshError="1">
        <row r="10">
          <cell r="B10" t="str">
            <v>03980-028</v>
          </cell>
          <cell r="C10" t="str">
            <v>U-BOLT</v>
          </cell>
          <cell r="D10" t="str">
            <v>C S</v>
          </cell>
          <cell r="E10" t="str">
            <v>DN150</v>
          </cell>
          <cell r="G10" t="str">
            <v>16100-150</v>
          </cell>
          <cell r="H10">
            <v>4</v>
          </cell>
          <cell r="K10">
            <v>0.75800000000000001</v>
          </cell>
          <cell r="L10">
            <v>3.032</v>
          </cell>
          <cell r="M10">
            <v>760</v>
          </cell>
          <cell r="N10">
            <v>3040</v>
          </cell>
          <cell r="O10" t="str">
            <v>물정 '98.11.p78</v>
          </cell>
        </row>
        <row r="11">
          <cell r="B11" t="str">
            <v>03980-042</v>
          </cell>
          <cell r="C11" t="str">
            <v>STUD BOLT</v>
          </cell>
          <cell r="D11" t="str">
            <v>C S</v>
          </cell>
          <cell r="E11" t="str">
            <v>M15x60L</v>
          </cell>
          <cell r="G11" t="str">
            <v>16100-150</v>
          </cell>
          <cell r="H11">
            <v>24</v>
          </cell>
          <cell r="K11">
            <v>0.2</v>
          </cell>
          <cell r="L11">
            <v>4.8</v>
          </cell>
          <cell r="M11">
            <v>137</v>
          </cell>
          <cell r="N11">
            <v>3288</v>
          </cell>
          <cell r="O11" t="str">
            <v>물정 '98.11 p.74</v>
          </cell>
        </row>
        <row r="12">
          <cell r="B12" t="str">
            <v>03980-043</v>
          </cell>
          <cell r="C12" t="str">
            <v>PLATE</v>
          </cell>
          <cell r="D12" t="str">
            <v>C S</v>
          </cell>
          <cell r="E12" t="str">
            <v>PL200x38x12t</v>
          </cell>
          <cell r="G12" t="str">
            <v>16100-150</v>
          </cell>
          <cell r="H12">
            <v>4</v>
          </cell>
          <cell r="K12">
            <v>0.71599999999999997</v>
          </cell>
          <cell r="L12">
            <v>2.8639999999999999</v>
          </cell>
          <cell r="M12">
            <v>289</v>
          </cell>
          <cell r="N12">
            <v>1156</v>
          </cell>
          <cell r="O12" t="str">
            <v>물정 '98.11 p.50</v>
          </cell>
        </row>
        <row r="13">
          <cell r="B13" t="str">
            <v>03980-035</v>
          </cell>
          <cell r="C13" t="str">
            <v>PLATE</v>
          </cell>
          <cell r="D13" t="str">
            <v>C S</v>
          </cell>
          <cell r="E13" t="str">
            <v>PL200x200x12t</v>
          </cell>
          <cell r="G13" t="str">
            <v>16100-150</v>
          </cell>
          <cell r="H13">
            <v>7</v>
          </cell>
          <cell r="K13">
            <v>3.7679999999999998</v>
          </cell>
          <cell r="L13">
            <v>26.376000000000001</v>
          </cell>
          <cell r="M13">
            <v>1526</v>
          </cell>
          <cell r="N13">
            <v>10682</v>
          </cell>
          <cell r="O13" t="str">
            <v>물정 '98.11 p.50</v>
          </cell>
        </row>
        <row r="14">
          <cell r="B14" t="str">
            <v>03980-042</v>
          </cell>
          <cell r="C14" t="str">
            <v>PLATE</v>
          </cell>
          <cell r="D14" t="str">
            <v>C S</v>
          </cell>
          <cell r="E14" t="str">
            <v>PL150x150x9t</v>
          </cell>
          <cell r="G14" t="str">
            <v>16100-150</v>
          </cell>
          <cell r="H14">
            <v>2</v>
          </cell>
          <cell r="K14">
            <v>1.59</v>
          </cell>
          <cell r="L14">
            <v>3.18</v>
          </cell>
          <cell r="M14">
            <v>659</v>
          </cell>
          <cell r="N14">
            <v>1318</v>
          </cell>
          <cell r="O14" t="str">
            <v>물정 '98.11 p.50</v>
          </cell>
        </row>
        <row r="15">
          <cell r="B15" t="str">
            <v>03980-042</v>
          </cell>
          <cell r="C15" t="str">
            <v>PIPE STD WT</v>
          </cell>
          <cell r="D15" t="str">
            <v>C S</v>
          </cell>
          <cell r="E15" t="str">
            <v>DN100</v>
          </cell>
          <cell r="F15">
            <v>143</v>
          </cell>
          <cell r="G15" t="str">
            <v>16100-150</v>
          </cell>
          <cell r="H15">
            <v>2</v>
          </cell>
          <cell r="K15">
            <v>2.2999999999999998</v>
          </cell>
          <cell r="L15">
            <v>4.5999999999999996</v>
          </cell>
          <cell r="M15">
            <v>1301.443</v>
          </cell>
          <cell r="N15">
            <v>2602</v>
          </cell>
          <cell r="O15" t="str">
            <v>물자 '98.11 p.476</v>
          </cell>
        </row>
        <row r="16">
          <cell r="B16" t="str">
            <v>03980-028</v>
          </cell>
          <cell r="C16" t="str">
            <v>H-BEAM</v>
          </cell>
          <cell r="D16" t="str">
            <v>C S</v>
          </cell>
          <cell r="E16" t="str">
            <v>H100x100x6x8</v>
          </cell>
          <cell r="F16">
            <v>1385</v>
          </cell>
          <cell r="G16" t="str">
            <v>16100-150</v>
          </cell>
          <cell r="H16">
            <v>1</v>
          </cell>
          <cell r="K16">
            <v>23.821999999999999</v>
          </cell>
          <cell r="L16">
            <v>23.821999999999999</v>
          </cell>
          <cell r="M16">
            <v>11553</v>
          </cell>
          <cell r="N16">
            <v>11553</v>
          </cell>
          <cell r="O16" t="str">
            <v>물정 '98.11 p.47</v>
          </cell>
        </row>
        <row r="17">
          <cell r="B17" t="str">
            <v>03980-029</v>
          </cell>
          <cell r="C17" t="str">
            <v>H-BEAM</v>
          </cell>
          <cell r="D17" t="str">
            <v>C S</v>
          </cell>
          <cell r="E17" t="str">
            <v>H100x100x6x8</v>
          </cell>
          <cell r="F17">
            <v>1780</v>
          </cell>
          <cell r="G17" t="str">
            <v>16100-150</v>
          </cell>
          <cell r="H17">
            <v>1</v>
          </cell>
          <cell r="K17">
            <v>30.616</v>
          </cell>
          <cell r="L17">
            <v>30.616</v>
          </cell>
          <cell r="M17">
            <v>14848</v>
          </cell>
          <cell r="N17">
            <v>14848</v>
          </cell>
          <cell r="O17" t="str">
            <v>물정 '98.11 p.47</v>
          </cell>
        </row>
        <row r="18">
          <cell r="B18" t="str">
            <v>03980-035</v>
          </cell>
          <cell r="C18" t="str">
            <v>H-BEAM</v>
          </cell>
          <cell r="D18" t="str">
            <v>C S</v>
          </cell>
          <cell r="E18" t="str">
            <v>H100x100x6x8</v>
          </cell>
          <cell r="F18">
            <v>462</v>
          </cell>
          <cell r="G18" t="str">
            <v>16100-150</v>
          </cell>
          <cell r="H18">
            <v>1</v>
          </cell>
          <cell r="K18">
            <v>7.9470000000000001</v>
          </cell>
          <cell r="L18">
            <v>7.9470000000000001</v>
          </cell>
          <cell r="M18">
            <v>3854</v>
          </cell>
          <cell r="N18">
            <v>3854</v>
          </cell>
          <cell r="O18" t="str">
            <v>물정 '98.11 p.47</v>
          </cell>
        </row>
        <row r="19">
          <cell r="B19" t="str">
            <v>03980-028</v>
          </cell>
          <cell r="C19" t="str">
            <v>CLIP ANGLE</v>
          </cell>
          <cell r="D19" t="str">
            <v>C S</v>
          </cell>
          <cell r="E19" t="str">
            <v>L75x75x9</v>
          </cell>
          <cell r="F19">
            <v>50</v>
          </cell>
          <cell r="G19" t="str">
            <v>16100-150</v>
          </cell>
          <cell r="H19">
            <v>4</v>
          </cell>
          <cell r="K19">
            <v>0.498</v>
          </cell>
          <cell r="L19">
            <v>1.992</v>
          </cell>
          <cell r="M19">
            <v>196</v>
          </cell>
          <cell r="N19">
            <v>784</v>
          </cell>
          <cell r="O19" t="str">
            <v>물정 '98.11 p.45</v>
          </cell>
        </row>
        <row r="20">
          <cell r="B20" t="str">
            <v>03980-042</v>
          </cell>
          <cell r="C20" t="str">
            <v>CHANNEL</v>
          </cell>
          <cell r="D20" t="str">
            <v>C S</v>
          </cell>
          <cell r="E20" t="str">
            <v>C100x50x5x7.5</v>
          </cell>
          <cell r="F20">
            <v>628</v>
          </cell>
          <cell r="G20" t="str">
            <v>16100-150</v>
          </cell>
          <cell r="H20">
            <v>6</v>
          </cell>
          <cell r="K20">
            <v>5.8780000000000001</v>
          </cell>
          <cell r="L20">
            <v>35.268000000000001</v>
          </cell>
          <cell r="M20">
            <v>2468</v>
          </cell>
          <cell r="N20">
            <v>14808</v>
          </cell>
          <cell r="O20" t="str">
            <v>물정 '98.11 p.46</v>
          </cell>
        </row>
        <row r="21">
          <cell r="B21" t="str">
            <v>03980-042</v>
          </cell>
          <cell r="C21" t="str">
            <v>CHANNEL</v>
          </cell>
          <cell r="D21" t="str">
            <v>C S</v>
          </cell>
          <cell r="E21" t="str">
            <v>C100x50x5x7.5</v>
          </cell>
          <cell r="F21">
            <v>250</v>
          </cell>
          <cell r="G21" t="str">
            <v>16100-150</v>
          </cell>
          <cell r="H21">
            <v>6</v>
          </cell>
          <cell r="K21">
            <v>2.34</v>
          </cell>
          <cell r="L21">
            <v>14.04</v>
          </cell>
          <cell r="M21">
            <v>982</v>
          </cell>
          <cell r="N21">
            <v>5892</v>
          </cell>
          <cell r="O21" t="str">
            <v>물정 '98.11 p.46</v>
          </cell>
        </row>
        <row r="22">
          <cell r="B22" t="str">
            <v>03980-035</v>
          </cell>
          <cell r="C22" t="str">
            <v>ANGLE</v>
          </cell>
          <cell r="D22" t="str">
            <v>C S</v>
          </cell>
          <cell r="E22" t="str">
            <v>L75x75x9</v>
          </cell>
          <cell r="F22">
            <v>330</v>
          </cell>
          <cell r="G22" t="str">
            <v>16100-150</v>
          </cell>
          <cell r="H22">
            <v>1</v>
          </cell>
          <cell r="K22">
            <v>3.2869999999999999</v>
          </cell>
          <cell r="L22">
            <v>3.2869999999999999</v>
          </cell>
          <cell r="M22">
            <v>1295</v>
          </cell>
          <cell r="N22">
            <v>1295</v>
          </cell>
          <cell r="O22" t="str">
            <v>물정 '98.11 p.45</v>
          </cell>
        </row>
        <row r="23">
          <cell r="B23" t="str">
            <v>03980-044</v>
          </cell>
          <cell r="C23" t="str">
            <v>ANGLE</v>
          </cell>
          <cell r="D23" t="str">
            <v>C S</v>
          </cell>
          <cell r="E23" t="str">
            <v>L100x100x10</v>
          </cell>
          <cell r="F23">
            <v>280</v>
          </cell>
          <cell r="G23" t="str">
            <v>16100-150</v>
          </cell>
          <cell r="H23">
            <v>3</v>
          </cell>
          <cell r="K23">
            <v>4.1719999999999997</v>
          </cell>
          <cell r="L23">
            <v>12.516</v>
          </cell>
          <cell r="M23">
            <v>1756</v>
          </cell>
          <cell r="N23">
            <v>5268</v>
          </cell>
          <cell r="O23" t="str">
            <v>물정 '98.11 p.45</v>
          </cell>
        </row>
        <row r="24">
          <cell r="B24" t="str">
            <v>03980-044</v>
          </cell>
          <cell r="C24" t="str">
            <v>ANGLE</v>
          </cell>
          <cell r="D24" t="str">
            <v>C S</v>
          </cell>
          <cell r="E24" t="str">
            <v>L100x100x10</v>
          </cell>
          <cell r="F24">
            <v>250</v>
          </cell>
          <cell r="G24" t="str">
            <v>16100-150</v>
          </cell>
          <cell r="H24">
            <v>2</v>
          </cell>
          <cell r="K24">
            <v>3.7250000000000001</v>
          </cell>
          <cell r="L24">
            <v>7.45</v>
          </cell>
          <cell r="M24">
            <v>1568</v>
          </cell>
          <cell r="N24">
            <v>3136</v>
          </cell>
          <cell r="O24" t="str">
            <v>물정 '98.11 p.45</v>
          </cell>
        </row>
        <row r="25">
          <cell r="B25" t="str">
            <v>03980-045</v>
          </cell>
          <cell r="C25" t="str">
            <v>ANGLE</v>
          </cell>
          <cell r="D25" t="str">
            <v>C S</v>
          </cell>
          <cell r="E25" t="str">
            <v>L100x100x10</v>
          </cell>
          <cell r="F25">
            <v>535</v>
          </cell>
          <cell r="G25" t="str">
            <v>16100-150</v>
          </cell>
          <cell r="H25">
            <v>1</v>
          </cell>
          <cell r="K25">
            <v>7.9720000000000004</v>
          </cell>
          <cell r="L25">
            <v>7.9720000000000004</v>
          </cell>
          <cell r="M25">
            <v>3356</v>
          </cell>
          <cell r="N25">
            <v>3356</v>
          </cell>
          <cell r="O25" t="str">
            <v>물정 '98.11 p.45</v>
          </cell>
        </row>
        <row r="26">
          <cell r="B26" t="str">
            <v>03980-035</v>
          </cell>
          <cell r="C26" t="str">
            <v>ANCHOR BOLT</v>
          </cell>
          <cell r="D26" t="str">
            <v>C S</v>
          </cell>
          <cell r="E26" t="str">
            <v>M16x177L</v>
          </cell>
          <cell r="G26" t="str">
            <v>16100-150</v>
          </cell>
          <cell r="H26">
            <v>4</v>
          </cell>
          <cell r="K26">
            <v>0.34699999999999998</v>
          </cell>
          <cell r="L26">
            <v>1.3879999999999999</v>
          </cell>
          <cell r="M26">
            <v>1660</v>
          </cell>
          <cell r="N26">
            <v>6640</v>
          </cell>
          <cell r="O26" t="str">
            <v>견적가</v>
          </cell>
        </row>
        <row r="27">
          <cell r="B27" t="str">
            <v>03980-028</v>
          </cell>
          <cell r="C27" t="str">
            <v>U-BOLT</v>
          </cell>
          <cell r="D27" t="str">
            <v>C S</v>
          </cell>
          <cell r="E27" t="str">
            <v>DN100</v>
          </cell>
          <cell r="G27" t="str">
            <v>16100-100</v>
          </cell>
          <cell r="H27">
            <v>4</v>
          </cell>
          <cell r="K27">
            <v>0.54900000000000004</v>
          </cell>
          <cell r="L27">
            <v>2.1960000000000002</v>
          </cell>
          <cell r="M27">
            <v>510</v>
          </cell>
          <cell r="N27">
            <v>2040</v>
          </cell>
          <cell r="O27" t="str">
            <v>물정 '98.11.p78</v>
          </cell>
        </row>
        <row r="28">
          <cell r="B28" t="str">
            <v>03980-040</v>
          </cell>
          <cell r="C28" t="str">
            <v>STUD BOLT</v>
          </cell>
          <cell r="D28" t="str">
            <v>C S</v>
          </cell>
          <cell r="E28" t="str">
            <v>M15x60L</v>
          </cell>
          <cell r="G28" t="str">
            <v>16100-100</v>
          </cell>
          <cell r="H28">
            <v>12</v>
          </cell>
          <cell r="K28">
            <v>0.2</v>
          </cell>
          <cell r="L28">
            <v>2.4</v>
          </cell>
          <cell r="M28">
            <v>137</v>
          </cell>
          <cell r="N28">
            <v>1644</v>
          </cell>
          <cell r="O28" t="str">
            <v>물정 '98.11 p.74</v>
          </cell>
        </row>
        <row r="29">
          <cell r="B29" t="str">
            <v>03980-040</v>
          </cell>
          <cell r="C29" t="str">
            <v>PLATE</v>
          </cell>
          <cell r="D29" t="str">
            <v>C S</v>
          </cell>
          <cell r="E29" t="str">
            <v>PL200x200x12t</v>
          </cell>
          <cell r="G29" t="str">
            <v>16100-100</v>
          </cell>
          <cell r="H29">
            <v>3</v>
          </cell>
          <cell r="K29">
            <v>3.7679999999999998</v>
          </cell>
          <cell r="L29">
            <v>11.304</v>
          </cell>
          <cell r="M29">
            <v>1526</v>
          </cell>
          <cell r="N29">
            <v>4578</v>
          </cell>
          <cell r="O29" t="str">
            <v>물정 '98.11 p.50</v>
          </cell>
        </row>
        <row r="30">
          <cell r="B30" t="str">
            <v>03980-040</v>
          </cell>
          <cell r="C30" t="str">
            <v>PLATE</v>
          </cell>
          <cell r="D30" t="str">
            <v>C S</v>
          </cell>
          <cell r="E30" t="str">
            <v>PL180x150x12t</v>
          </cell>
          <cell r="G30" t="str">
            <v>16100-100</v>
          </cell>
          <cell r="H30">
            <v>3</v>
          </cell>
          <cell r="K30">
            <v>2.5430000000000001</v>
          </cell>
          <cell r="L30">
            <v>7.6289999999999996</v>
          </cell>
          <cell r="M30">
            <v>1029</v>
          </cell>
          <cell r="N30">
            <v>3087</v>
          </cell>
          <cell r="O30" t="str">
            <v>물정 '98.11 p.50</v>
          </cell>
        </row>
        <row r="31">
          <cell r="B31" t="str">
            <v>03980-040</v>
          </cell>
          <cell r="C31" t="str">
            <v>LUG PLATE</v>
          </cell>
          <cell r="D31" t="str">
            <v>S S</v>
          </cell>
          <cell r="E31" t="str">
            <v>PL100x50x12t</v>
          </cell>
          <cell r="G31" t="str">
            <v>16100-100</v>
          </cell>
          <cell r="H31">
            <v>2</v>
          </cell>
          <cell r="K31">
            <v>0.47099999999999997</v>
          </cell>
          <cell r="L31">
            <v>0.94199999999999995</v>
          </cell>
          <cell r="M31">
            <v>190</v>
          </cell>
          <cell r="N31">
            <v>380</v>
          </cell>
          <cell r="O31" t="str">
            <v>물정 '98.11 p.50</v>
          </cell>
        </row>
        <row r="32">
          <cell r="B32" t="str">
            <v>03980-027</v>
          </cell>
          <cell r="C32" t="str">
            <v>H-BEAM</v>
          </cell>
          <cell r="D32" t="str">
            <v>C S</v>
          </cell>
          <cell r="E32" t="str">
            <v>H100x100x6x8</v>
          </cell>
          <cell r="F32">
            <v>1385</v>
          </cell>
          <cell r="G32" t="str">
            <v>16100-100</v>
          </cell>
          <cell r="H32">
            <v>1</v>
          </cell>
          <cell r="K32">
            <v>23.821999999999999</v>
          </cell>
          <cell r="L32">
            <v>23.821999999999999</v>
          </cell>
          <cell r="M32">
            <v>11553</v>
          </cell>
          <cell r="N32">
            <v>11553</v>
          </cell>
          <cell r="O32" t="str">
            <v>물정 '98.11 p.47</v>
          </cell>
        </row>
        <row r="33">
          <cell r="B33" t="str">
            <v>03980-027</v>
          </cell>
          <cell r="C33" t="str">
            <v>CLIP ANGLE</v>
          </cell>
          <cell r="D33" t="str">
            <v>C S</v>
          </cell>
          <cell r="E33" t="str">
            <v>L75x75x9</v>
          </cell>
          <cell r="F33">
            <v>50</v>
          </cell>
          <cell r="G33" t="str">
            <v>16100-100</v>
          </cell>
          <cell r="H33">
            <v>2</v>
          </cell>
          <cell r="K33">
            <v>0.498</v>
          </cell>
          <cell r="L33">
            <v>0.996</v>
          </cell>
          <cell r="M33">
            <v>196</v>
          </cell>
          <cell r="N33">
            <v>392</v>
          </cell>
          <cell r="O33" t="str">
            <v>물정 '98.11 p.45</v>
          </cell>
        </row>
        <row r="34">
          <cell r="B34" t="str">
            <v>03980-040</v>
          </cell>
          <cell r="C34" t="str">
            <v>ANGLE</v>
          </cell>
          <cell r="D34" t="str">
            <v>C S</v>
          </cell>
          <cell r="E34" t="str">
            <v>L75x75x9</v>
          </cell>
          <cell r="F34">
            <v>252</v>
          </cell>
          <cell r="G34" t="str">
            <v>16100-100</v>
          </cell>
          <cell r="H34">
            <v>3</v>
          </cell>
          <cell r="K34">
            <v>2.5099999999999998</v>
          </cell>
          <cell r="L34">
            <v>7.53</v>
          </cell>
          <cell r="M34">
            <v>988</v>
          </cell>
          <cell r="N34">
            <v>2964</v>
          </cell>
          <cell r="O34" t="str">
            <v>물정 '98.11 p.45</v>
          </cell>
        </row>
        <row r="36">
          <cell r="B36" t="str">
            <v>03980-024</v>
          </cell>
          <cell r="C36" t="str">
            <v>U-BOLT</v>
          </cell>
          <cell r="D36" t="str">
            <v>C S</v>
          </cell>
          <cell r="E36" t="str">
            <v>DN150</v>
          </cell>
          <cell r="G36" t="str">
            <v>16200-150</v>
          </cell>
          <cell r="H36">
            <v>13</v>
          </cell>
          <cell r="K36">
            <v>0.75800000000000001</v>
          </cell>
          <cell r="L36">
            <v>9.8539999999999992</v>
          </cell>
          <cell r="M36">
            <v>2200</v>
          </cell>
          <cell r="N36">
            <v>28600</v>
          </cell>
          <cell r="O36" t="str">
            <v>물정 '98.11.p78</v>
          </cell>
        </row>
        <row r="37">
          <cell r="B37" t="str">
            <v>03980-024</v>
          </cell>
          <cell r="C37" t="str">
            <v>H-BEAM</v>
          </cell>
          <cell r="D37" t="str">
            <v>C S</v>
          </cell>
          <cell r="E37" t="str">
            <v>H100x100x6x8</v>
          </cell>
          <cell r="F37">
            <v>1385</v>
          </cell>
          <cell r="G37" t="str">
            <v>16200-150</v>
          </cell>
          <cell r="H37">
            <v>27</v>
          </cell>
          <cell r="K37">
            <v>23.821999999999999</v>
          </cell>
          <cell r="L37">
            <v>643.19399999999996</v>
          </cell>
          <cell r="M37">
            <v>11553</v>
          </cell>
          <cell r="N37">
            <v>311931</v>
          </cell>
          <cell r="O37" t="str">
            <v>물정 '98.11 p.47</v>
          </cell>
        </row>
        <row r="38">
          <cell r="B38" t="str">
            <v>03980-024</v>
          </cell>
          <cell r="C38" t="str">
            <v>CLIP ANGLE</v>
          </cell>
          <cell r="D38" t="str">
            <v>C S</v>
          </cell>
          <cell r="E38" t="str">
            <v>L75x75x9</v>
          </cell>
          <cell r="F38">
            <v>50</v>
          </cell>
          <cell r="G38" t="str">
            <v>16200-150</v>
          </cell>
          <cell r="H38">
            <v>54</v>
          </cell>
          <cell r="K38">
            <v>0.498</v>
          </cell>
          <cell r="L38">
            <v>26.891999999999999</v>
          </cell>
          <cell r="M38">
            <v>196</v>
          </cell>
          <cell r="N38">
            <v>10584</v>
          </cell>
          <cell r="O38" t="str">
            <v>물정 '98.11 p.45</v>
          </cell>
        </row>
        <row r="39">
          <cell r="B39" t="str">
            <v>03980-046</v>
          </cell>
          <cell r="C39" t="str">
            <v>ANGLE</v>
          </cell>
          <cell r="D39" t="str">
            <v>C S</v>
          </cell>
          <cell r="E39" t="str">
            <v>L100x100x10</v>
          </cell>
          <cell r="F39">
            <v>700</v>
          </cell>
          <cell r="G39" t="str">
            <v>16200-150</v>
          </cell>
          <cell r="H39">
            <v>5</v>
          </cell>
          <cell r="K39">
            <v>10.43</v>
          </cell>
          <cell r="L39">
            <v>52.15</v>
          </cell>
          <cell r="M39">
            <v>4391</v>
          </cell>
          <cell r="N39">
            <v>21955</v>
          </cell>
          <cell r="O39" t="str">
            <v>물정 '98.11 p.45</v>
          </cell>
        </row>
        <row r="40">
          <cell r="B40" t="str">
            <v>03980-026</v>
          </cell>
          <cell r="C40" t="str">
            <v>U-BOLT</v>
          </cell>
          <cell r="D40" t="str">
            <v>C S</v>
          </cell>
          <cell r="E40" t="str">
            <v>DN100</v>
          </cell>
          <cell r="G40" t="str">
            <v>16200-100</v>
          </cell>
          <cell r="H40">
            <v>16</v>
          </cell>
          <cell r="K40">
            <v>0.54900000000000004</v>
          </cell>
          <cell r="L40">
            <v>8.7840000000000007</v>
          </cell>
          <cell r="M40">
            <v>900</v>
          </cell>
          <cell r="N40">
            <v>14400</v>
          </cell>
          <cell r="O40" t="str">
            <v>물정 '98.11.p78</v>
          </cell>
        </row>
        <row r="41">
          <cell r="B41" t="str">
            <v>03980-026</v>
          </cell>
          <cell r="C41" t="str">
            <v>H-BEAM</v>
          </cell>
          <cell r="D41" t="str">
            <v>C S</v>
          </cell>
          <cell r="E41" t="str">
            <v>H100x100x6x8</v>
          </cell>
          <cell r="F41">
            <v>1385</v>
          </cell>
          <cell r="G41" t="str">
            <v>16200-100</v>
          </cell>
          <cell r="H41">
            <v>3</v>
          </cell>
          <cell r="K41">
            <v>23.821999999999999</v>
          </cell>
          <cell r="L41">
            <v>71.465999999999994</v>
          </cell>
          <cell r="M41">
            <v>11553</v>
          </cell>
          <cell r="N41">
            <v>34659</v>
          </cell>
          <cell r="O41" t="str">
            <v>물정 '98.11 p.47</v>
          </cell>
        </row>
        <row r="42">
          <cell r="B42" t="str">
            <v>03980-026</v>
          </cell>
          <cell r="C42" t="str">
            <v>CLIP ANGLE</v>
          </cell>
          <cell r="D42" t="str">
            <v>C S</v>
          </cell>
          <cell r="E42" t="str">
            <v>L75x75x9</v>
          </cell>
          <cell r="F42">
            <v>50</v>
          </cell>
          <cell r="G42" t="str">
            <v>16200-100</v>
          </cell>
          <cell r="H42">
            <v>6</v>
          </cell>
          <cell r="K42">
            <v>0.498</v>
          </cell>
          <cell r="L42">
            <v>2.988</v>
          </cell>
          <cell r="M42">
            <v>196</v>
          </cell>
          <cell r="N42">
            <v>1176</v>
          </cell>
          <cell r="O42" t="str">
            <v>물정 '98.11 p.45</v>
          </cell>
        </row>
        <row r="43">
          <cell r="B43" t="str">
            <v>03980-031</v>
          </cell>
          <cell r="C43" t="str">
            <v>H-BEAM</v>
          </cell>
          <cell r="D43" t="str">
            <v>C S</v>
          </cell>
          <cell r="E43" t="str">
            <v>H100x100x6x8</v>
          </cell>
          <cell r="F43">
            <v>700</v>
          </cell>
          <cell r="G43" t="str">
            <v>16200-100</v>
          </cell>
          <cell r="H43">
            <v>1</v>
          </cell>
          <cell r="K43">
            <v>12.04</v>
          </cell>
          <cell r="L43">
            <v>12.04</v>
          </cell>
          <cell r="M43">
            <v>5839</v>
          </cell>
          <cell r="N43">
            <v>5839</v>
          </cell>
          <cell r="O43" t="str">
            <v>물정 '98.11 p.47</v>
          </cell>
        </row>
        <row r="44">
          <cell r="B44" t="str">
            <v>03980-051</v>
          </cell>
          <cell r="C44" t="str">
            <v>ANGLE</v>
          </cell>
          <cell r="D44" t="str">
            <v>C S</v>
          </cell>
          <cell r="E44" t="str">
            <v>L75x75x9</v>
          </cell>
          <cell r="F44">
            <v>160</v>
          </cell>
          <cell r="G44" t="str">
            <v>16200-100</v>
          </cell>
          <cell r="H44">
            <v>3</v>
          </cell>
          <cell r="K44">
            <v>1.5940000000000001</v>
          </cell>
          <cell r="L44">
            <v>4.782</v>
          </cell>
          <cell r="M44">
            <v>628</v>
          </cell>
          <cell r="N44">
            <v>1884</v>
          </cell>
          <cell r="O44" t="str">
            <v>물정 '98.11 p.45</v>
          </cell>
        </row>
        <row r="45">
          <cell r="B45" t="str">
            <v>03980-052</v>
          </cell>
          <cell r="C45" t="str">
            <v>ANGLE</v>
          </cell>
          <cell r="D45" t="str">
            <v>C S</v>
          </cell>
          <cell r="E45" t="str">
            <v>L75x75x9</v>
          </cell>
          <cell r="F45">
            <v>460</v>
          </cell>
          <cell r="G45" t="str">
            <v>16200-100</v>
          </cell>
          <cell r="H45">
            <v>2</v>
          </cell>
          <cell r="K45">
            <v>4.5819999999999999</v>
          </cell>
          <cell r="L45">
            <v>9.1639999999999997</v>
          </cell>
          <cell r="M45">
            <v>1805</v>
          </cell>
          <cell r="N45">
            <v>3610</v>
          </cell>
          <cell r="O45" t="str">
            <v>물정 '98.11 p.45</v>
          </cell>
        </row>
        <row r="46">
          <cell r="B46" t="str">
            <v>03980-053</v>
          </cell>
          <cell r="C46" t="str">
            <v>STUD BOLT</v>
          </cell>
          <cell r="D46" t="str">
            <v>C S</v>
          </cell>
          <cell r="E46" t="str">
            <v>M15x60L</v>
          </cell>
          <cell r="G46" t="str">
            <v>16200-100</v>
          </cell>
          <cell r="H46">
            <v>16</v>
          </cell>
          <cell r="K46">
            <v>0.2</v>
          </cell>
          <cell r="L46">
            <v>3.2</v>
          </cell>
          <cell r="M46">
            <v>137</v>
          </cell>
          <cell r="N46">
            <v>2192</v>
          </cell>
          <cell r="O46" t="str">
            <v>물정 '98.11 p.74</v>
          </cell>
        </row>
        <row r="47">
          <cell r="B47" t="str">
            <v>03980-053</v>
          </cell>
          <cell r="C47" t="str">
            <v>PLATE</v>
          </cell>
          <cell r="D47" t="str">
            <v>C S</v>
          </cell>
          <cell r="E47" t="str">
            <v>PL200x200x12t</v>
          </cell>
          <cell r="G47" t="str">
            <v>16200-100</v>
          </cell>
          <cell r="H47">
            <v>4</v>
          </cell>
          <cell r="K47">
            <v>3.7679999999999998</v>
          </cell>
          <cell r="L47">
            <v>15.071999999999999</v>
          </cell>
          <cell r="M47">
            <v>1526</v>
          </cell>
          <cell r="N47">
            <v>6104</v>
          </cell>
          <cell r="O47" t="str">
            <v>물정 '98.11 p.50</v>
          </cell>
        </row>
        <row r="48">
          <cell r="B48" t="str">
            <v>03980-053</v>
          </cell>
          <cell r="C48" t="str">
            <v>PLATE</v>
          </cell>
          <cell r="D48" t="str">
            <v>C S</v>
          </cell>
          <cell r="E48" t="str">
            <v>PL200x150x12t</v>
          </cell>
          <cell r="G48" t="str">
            <v>16200-100</v>
          </cell>
          <cell r="H48">
            <v>4</v>
          </cell>
          <cell r="K48">
            <v>2.8260000000000001</v>
          </cell>
          <cell r="L48">
            <v>11.304</v>
          </cell>
          <cell r="M48">
            <v>1144</v>
          </cell>
          <cell r="N48">
            <v>4576</v>
          </cell>
          <cell r="O48" t="str">
            <v>물정 '98.11 p.50</v>
          </cell>
        </row>
        <row r="49">
          <cell r="B49" t="str">
            <v>03980-053</v>
          </cell>
          <cell r="C49" t="str">
            <v>LUG PLATE</v>
          </cell>
          <cell r="D49" t="str">
            <v>S S</v>
          </cell>
          <cell r="E49" t="str">
            <v>PL100x50x12t</v>
          </cell>
          <cell r="G49" t="str">
            <v>16200-100</v>
          </cell>
          <cell r="H49">
            <v>4</v>
          </cell>
          <cell r="K49">
            <v>0.47099999999999997</v>
          </cell>
          <cell r="L49">
            <v>1.8839999999999999</v>
          </cell>
          <cell r="M49">
            <v>190</v>
          </cell>
          <cell r="N49">
            <v>760</v>
          </cell>
          <cell r="O49" t="str">
            <v>물정 '98.11 p.50</v>
          </cell>
        </row>
        <row r="50">
          <cell r="B50" t="str">
            <v>03980-053</v>
          </cell>
          <cell r="C50" t="str">
            <v>ANGLE</v>
          </cell>
          <cell r="D50" t="str">
            <v>C S</v>
          </cell>
          <cell r="E50" t="str">
            <v>L75x75x9</v>
          </cell>
          <cell r="F50">
            <v>248</v>
          </cell>
          <cell r="G50" t="str">
            <v>16200-100</v>
          </cell>
          <cell r="H50">
            <v>4</v>
          </cell>
          <cell r="K50">
            <v>2.4710000000000001</v>
          </cell>
          <cell r="L50">
            <v>9.8840000000000003</v>
          </cell>
          <cell r="M50">
            <v>973</v>
          </cell>
          <cell r="N50">
            <v>3892</v>
          </cell>
          <cell r="O50" t="str">
            <v>물정 '98.11 p.45</v>
          </cell>
        </row>
        <row r="51">
          <cell r="B51" t="str">
            <v>03980-024</v>
          </cell>
          <cell r="C51" t="str">
            <v>U-BOLT</v>
          </cell>
          <cell r="D51" t="str">
            <v>C S</v>
          </cell>
          <cell r="E51" t="str">
            <v>DN 80</v>
          </cell>
          <cell r="G51" t="str">
            <v>16200- 80</v>
          </cell>
          <cell r="H51">
            <v>10</v>
          </cell>
          <cell r="K51">
            <v>0.25900000000000001</v>
          </cell>
          <cell r="L51">
            <v>2.59</v>
          </cell>
          <cell r="M51">
            <v>770</v>
          </cell>
          <cell r="N51">
            <v>7700</v>
          </cell>
          <cell r="O51" t="str">
            <v>물정 '98.11.p78</v>
          </cell>
        </row>
        <row r="52">
          <cell r="B52" t="str">
            <v>03980-033</v>
          </cell>
          <cell r="C52" t="str">
            <v>WEL'D BEAM ATTACH.</v>
          </cell>
          <cell r="D52" t="str">
            <v>C S</v>
          </cell>
          <cell r="E52" t="str">
            <v>M12</v>
          </cell>
          <cell r="G52" t="str">
            <v>16200- 80</v>
          </cell>
          <cell r="H52">
            <v>1</v>
          </cell>
          <cell r="K52">
            <v>0.59</v>
          </cell>
          <cell r="L52">
            <v>0.59</v>
          </cell>
          <cell r="M52">
            <v>4800</v>
          </cell>
          <cell r="N52">
            <v>4800</v>
          </cell>
          <cell r="O52" t="str">
            <v>견적가</v>
          </cell>
        </row>
        <row r="53">
          <cell r="B53" t="str">
            <v>03980-033</v>
          </cell>
          <cell r="C53" t="str">
            <v>THR'D ROD</v>
          </cell>
          <cell r="D53" t="str">
            <v>C S</v>
          </cell>
          <cell r="E53" t="str">
            <v>M12</v>
          </cell>
          <cell r="F53">
            <v>360</v>
          </cell>
          <cell r="G53" t="str">
            <v>16200- 80</v>
          </cell>
          <cell r="H53">
            <v>1</v>
          </cell>
          <cell r="K53">
            <v>0.28499999999999998</v>
          </cell>
          <cell r="L53">
            <v>0.28499999999999998</v>
          </cell>
          <cell r="M53">
            <v>3430</v>
          </cell>
          <cell r="N53">
            <v>3430</v>
          </cell>
          <cell r="O53" t="str">
            <v>견적가</v>
          </cell>
        </row>
        <row r="54">
          <cell r="B54" t="str">
            <v>03980-033</v>
          </cell>
          <cell r="C54" t="str">
            <v>PLATE</v>
          </cell>
          <cell r="D54" t="str">
            <v>C S</v>
          </cell>
          <cell r="E54" t="str">
            <v>PL200x200x12t</v>
          </cell>
          <cell r="G54" t="str">
            <v>16200- 80</v>
          </cell>
          <cell r="H54">
            <v>1</v>
          </cell>
          <cell r="K54">
            <v>3.7679999999999998</v>
          </cell>
          <cell r="L54">
            <v>3.7679999999999998</v>
          </cell>
          <cell r="M54">
            <v>1526</v>
          </cell>
          <cell r="N54">
            <v>1526</v>
          </cell>
          <cell r="O54" t="str">
            <v>물정 '98.11 p.50</v>
          </cell>
        </row>
        <row r="55">
          <cell r="B55" t="str">
            <v>03980-033</v>
          </cell>
          <cell r="C55" t="str">
            <v>EYE NUT</v>
          </cell>
          <cell r="D55" t="str">
            <v>C S</v>
          </cell>
          <cell r="E55" t="str">
            <v>M12</v>
          </cell>
          <cell r="G55" t="str">
            <v>16200- 80</v>
          </cell>
          <cell r="H55">
            <v>2</v>
          </cell>
          <cell r="K55">
            <v>0.28999999999999998</v>
          </cell>
          <cell r="L55">
            <v>0.57999999999999996</v>
          </cell>
          <cell r="M55">
            <v>1600</v>
          </cell>
          <cell r="N55">
            <v>3200</v>
          </cell>
          <cell r="O55" t="str">
            <v>견적가</v>
          </cell>
        </row>
        <row r="56">
          <cell r="B56" t="str">
            <v>03980-033</v>
          </cell>
          <cell r="C56" t="str">
            <v>CHANNEL</v>
          </cell>
          <cell r="D56" t="str">
            <v>C S</v>
          </cell>
          <cell r="E56" t="str">
            <v>C100x50x5x7.5</v>
          </cell>
          <cell r="F56">
            <v>500</v>
          </cell>
          <cell r="G56" t="str">
            <v>16200- 80</v>
          </cell>
          <cell r="H56">
            <v>1</v>
          </cell>
          <cell r="K56">
            <v>4.68</v>
          </cell>
          <cell r="L56">
            <v>4.68</v>
          </cell>
          <cell r="M56">
            <v>1965</v>
          </cell>
          <cell r="N56">
            <v>1965</v>
          </cell>
          <cell r="O56" t="str">
            <v>물정 '98.11 p.46</v>
          </cell>
        </row>
        <row r="57">
          <cell r="B57" t="str">
            <v>03980-033</v>
          </cell>
          <cell r="C57" t="str">
            <v>ANCHOR BOLT</v>
          </cell>
          <cell r="D57" t="str">
            <v>C S</v>
          </cell>
          <cell r="E57" t="str">
            <v>M12x155L</v>
          </cell>
          <cell r="G57" t="str">
            <v>16200- 80</v>
          </cell>
          <cell r="H57">
            <v>4</v>
          </cell>
          <cell r="K57">
            <v>0.124</v>
          </cell>
          <cell r="L57">
            <v>0.496</v>
          </cell>
          <cell r="M57">
            <v>1480</v>
          </cell>
          <cell r="N57">
            <v>5920</v>
          </cell>
          <cell r="O57" t="str">
            <v>견적가</v>
          </cell>
        </row>
        <row r="58">
          <cell r="B58" t="str">
            <v>03980-033</v>
          </cell>
          <cell r="C58" t="str">
            <v>3-BOLT PIPE CLAMP</v>
          </cell>
          <cell r="D58" t="str">
            <v>C S</v>
          </cell>
          <cell r="E58" t="str">
            <v>DN 80</v>
          </cell>
          <cell r="G58" t="str">
            <v>16200- 80</v>
          </cell>
          <cell r="H58">
            <v>1</v>
          </cell>
          <cell r="K58">
            <v>1.36</v>
          </cell>
          <cell r="L58">
            <v>1.36</v>
          </cell>
          <cell r="M58">
            <v>10000</v>
          </cell>
          <cell r="N58">
            <v>10000</v>
          </cell>
          <cell r="O58" t="str">
            <v>견적가</v>
          </cell>
        </row>
        <row r="60">
          <cell r="B60" t="str">
            <v>03980-026</v>
          </cell>
          <cell r="C60" t="str">
            <v>U-BOLT</v>
          </cell>
          <cell r="D60" t="str">
            <v>C S</v>
          </cell>
          <cell r="E60" t="str">
            <v>DN100</v>
          </cell>
          <cell r="G60" t="str">
            <v>16320-100</v>
          </cell>
          <cell r="H60">
            <v>3</v>
          </cell>
          <cell r="K60">
            <v>0.54900000000000004</v>
          </cell>
          <cell r="L60">
            <v>1.647</v>
          </cell>
          <cell r="M60">
            <v>510</v>
          </cell>
          <cell r="N60">
            <v>1530</v>
          </cell>
          <cell r="O60" t="str">
            <v>물정 '98.11.p78</v>
          </cell>
        </row>
        <row r="61">
          <cell r="B61" t="str">
            <v>03980-032</v>
          </cell>
          <cell r="C61" t="str">
            <v>PLATE</v>
          </cell>
          <cell r="D61" t="str">
            <v>C S</v>
          </cell>
          <cell r="E61" t="str">
            <v>PL200x200x12t</v>
          </cell>
          <cell r="G61" t="str">
            <v>16320-100</v>
          </cell>
          <cell r="H61">
            <v>2</v>
          </cell>
          <cell r="K61">
            <v>3.7679999999999998</v>
          </cell>
          <cell r="L61">
            <v>7.5359999999999996</v>
          </cell>
          <cell r="M61">
            <v>1526</v>
          </cell>
          <cell r="N61">
            <v>3052</v>
          </cell>
          <cell r="O61" t="str">
            <v>물정 '98.11 p.50</v>
          </cell>
        </row>
        <row r="62">
          <cell r="B62" t="str">
            <v>03980-025</v>
          </cell>
          <cell r="C62" t="str">
            <v>H-BEAM</v>
          </cell>
          <cell r="D62" t="str">
            <v>C S</v>
          </cell>
          <cell r="E62" t="str">
            <v>H100x100x6x8</v>
          </cell>
          <cell r="F62">
            <v>1385</v>
          </cell>
          <cell r="G62" t="str">
            <v>16320-100</v>
          </cell>
          <cell r="H62">
            <v>1</v>
          </cell>
          <cell r="K62">
            <v>23.821999999999999</v>
          </cell>
          <cell r="L62">
            <v>23.821999999999999</v>
          </cell>
          <cell r="M62">
            <v>11553</v>
          </cell>
          <cell r="N62">
            <v>11553</v>
          </cell>
          <cell r="O62" t="str">
            <v>물정 '98.11 p.47</v>
          </cell>
        </row>
        <row r="63">
          <cell r="B63" t="str">
            <v>03980-025</v>
          </cell>
          <cell r="C63" t="str">
            <v>CLIP ANGLE</v>
          </cell>
          <cell r="D63" t="str">
            <v>C S</v>
          </cell>
          <cell r="E63" t="str">
            <v>L75x75x9</v>
          </cell>
          <cell r="F63">
            <v>50</v>
          </cell>
          <cell r="G63" t="str">
            <v>16320-100</v>
          </cell>
          <cell r="H63">
            <v>2</v>
          </cell>
          <cell r="K63">
            <v>0.498</v>
          </cell>
          <cell r="L63">
            <v>0.996</v>
          </cell>
          <cell r="M63">
            <v>196</v>
          </cell>
          <cell r="N63">
            <v>392</v>
          </cell>
          <cell r="O63" t="str">
            <v>물정 '98.11 p.45</v>
          </cell>
        </row>
        <row r="64">
          <cell r="B64" t="str">
            <v>03980-032</v>
          </cell>
          <cell r="C64" t="str">
            <v>ANGLE</v>
          </cell>
          <cell r="D64" t="str">
            <v>C S</v>
          </cell>
          <cell r="E64" t="str">
            <v>L75x75x9</v>
          </cell>
          <cell r="F64">
            <v>527</v>
          </cell>
          <cell r="G64" t="str">
            <v>16320-100</v>
          </cell>
          <cell r="H64">
            <v>1</v>
          </cell>
          <cell r="K64">
            <v>5.2489999999999997</v>
          </cell>
          <cell r="L64">
            <v>5.2489999999999997</v>
          </cell>
          <cell r="M64">
            <v>2068</v>
          </cell>
          <cell r="N64">
            <v>2068</v>
          </cell>
          <cell r="O64" t="str">
            <v>물정 '98.11 p.45</v>
          </cell>
        </row>
        <row r="65">
          <cell r="B65" t="str">
            <v>03980-034</v>
          </cell>
          <cell r="C65" t="str">
            <v>ANGLE</v>
          </cell>
          <cell r="D65" t="str">
            <v>C S</v>
          </cell>
          <cell r="E65" t="str">
            <v>L75x75x9</v>
          </cell>
          <cell r="F65">
            <v>514</v>
          </cell>
          <cell r="G65" t="str">
            <v>16320-100</v>
          </cell>
          <cell r="H65">
            <v>1</v>
          </cell>
          <cell r="K65">
            <v>5.12</v>
          </cell>
          <cell r="L65">
            <v>5.12</v>
          </cell>
          <cell r="M65">
            <v>2017</v>
          </cell>
          <cell r="N65">
            <v>2017</v>
          </cell>
          <cell r="O65" t="str">
            <v>물정 '98.11 p.45</v>
          </cell>
        </row>
        <row r="66">
          <cell r="B66" t="str">
            <v>03980-032</v>
          </cell>
          <cell r="C66" t="str">
            <v>ANCHOR BOLT</v>
          </cell>
          <cell r="D66" t="str">
            <v>C S</v>
          </cell>
          <cell r="E66" t="str">
            <v>M12x155L</v>
          </cell>
          <cell r="G66" t="str">
            <v>16320-100</v>
          </cell>
          <cell r="H66">
            <v>8</v>
          </cell>
          <cell r="K66">
            <v>0.124</v>
          </cell>
          <cell r="L66">
            <v>0.99199999999999999</v>
          </cell>
          <cell r="M66">
            <v>1480</v>
          </cell>
          <cell r="N66">
            <v>11840</v>
          </cell>
          <cell r="O66" t="str">
            <v>견적가</v>
          </cell>
        </row>
        <row r="67">
          <cell r="B67" t="str">
            <v>03980-036</v>
          </cell>
          <cell r="C67" t="str">
            <v>WEL'D BEAM ATTACH.</v>
          </cell>
          <cell r="D67" t="str">
            <v>C S</v>
          </cell>
          <cell r="E67" t="str">
            <v>M12</v>
          </cell>
          <cell r="G67" t="str">
            <v>16320- 80</v>
          </cell>
          <cell r="H67">
            <v>1</v>
          </cell>
          <cell r="K67">
            <v>0.59</v>
          </cell>
          <cell r="L67">
            <v>0.59</v>
          </cell>
          <cell r="M67">
            <v>4800</v>
          </cell>
          <cell r="N67">
            <v>4800</v>
          </cell>
          <cell r="O67" t="str">
            <v>견적가</v>
          </cell>
        </row>
        <row r="68">
          <cell r="B68" t="str">
            <v>03980-037</v>
          </cell>
          <cell r="C68" t="str">
            <v>U-BOLT</v>
          </cell>
          <cell r="D68" t="str">
            <v>C S</v>
          </cell>
          <cell r="E68" t="str">
            <v>DN 80</v>
          </cell>
          <cell r="G68" t="str">
            <v>16320- 80</v>
          </cell>
          <cell r="H68">
            <v>11</v>
          </cell>
          <cell r="K68">
            <v>0.25900000000000001</v>
          </cell>
          <cell r="L68">
            <v>2.8490000000000002</v>
          </cell>
          <cell r="M68">
            <v>220</v>
          </cell>
          <cell r="N68">
            <v>2420</v>
          </cell>
          <cell r="O68" t="str">
            <v>물정 '98.11.p78</v>
          </cell>
        </row>
        <row r="69">
          <cell r="B69" t="str">
            <v>03980-036</v>
          </cell>
          <cell r="C69" t="str">
            <v>THR'D ROD</v>
          </cell>
          <cell r="D69" t="str">
            <v>C S</v>
          </cell>
          <cell r="E69" t="str">
            <v>M12</v>
          </cell>
          <cell r="F69">
            <v>1161</v>
          </cell>
          <cell r="G69" t="str">
            <v>16320- 80</v>
          </cell>
          <cell r="H69">
            <v>1</v>
          </cell>
          <cell r="K69">
            <v>0.91700000000000004</v>
          </cell>
          <cell r="L69">
            <v>0.91700000000000004</v>
          </cell>
          <cell r="M69">
            <v>3630</v>
          </cell>
          <cell r="N69">
            <v>3630</v>
          </cell>
          <cell r="O69" t="str">
            <v>견적가</v>
          </cell>
        </row>
        <row r="70">
          <cell r="B70" t="str">
            <v>03980-037</v>
          </cell>
          <cell r="C70" t="str">
            <v>PLATE</v>
          </cell>
          <cell r="D70" t="str">
            <v>C S</v>
          </cell>
          <cell r="E70" t="str">
            <v>PL200x200x12t</v>
          </cell>
          <cell r="G70" t="str">
            <v>16320- 80</v>
          </cell>
          <cell r="H70">
            <v>3</v>
          </cell>
          <cell r="K70">
            <v>3.7679999999999998</v>
          </cell>
          <cell r="L70">
            <v>11.304</v>
          </cell>
          <cell r="M70">
            <v>1526</v>
          </cell>
          <cell r="N70">
            <v>4578</v>
          </cell>
          <cell r="O70" t="str">
            <v>물정 '98.11 p.50</v>
          </cell>
        </row>
        <row r="71">
          <cell r="B71" t="str">
            <v>03980-037</v>
          </cell>
          <cell r="C71" t="str">
            <v>H-BEAM</v>
          </cell>
          <cell r="D71" t="str">
            <v>C S</v>
          </cell>
          <cell r="E71" t="str">
            <v>H100x100x6x8</v>
          </cell>
          <cell r="F71">
            <v>284</v>
          </cell>
          <cell r="G71" t="str">
            <v>16320- 80</v>
          </cell>
          <cell r="H71">
            <v>1</v>
          </cell>
          <cell r="K71">
            <v>4.8849999999999998</v>
          </cell>
          <cell r="L71">
            <v>4.8849999999999998</v>
          </cell>
          <cell r="M71">
            <v>2369</v>
          </cell>
          <cell r="N71">
            <v>2369</v>
          </cell>
          <cell r="O71" t="str">
            <v>물정 '98.11 p.47</v>
          </cell>
        </row>
        <row r="72">
          <cell r="B72" t="str">
            <v>03980-036</v>
          </cell>
          <cell r="C72" t="str">
            <v>EYE NUT</v>
          </cell>
          <cell r="D72" t="str">
            <v>C S</v>
          </cell>
          <cell r="E72" t="str">
            <v>M12</v>
          </cell>
          <cell r="G72" t="str">
            <v>16320- 80</v>
          </cell>
          <cell r="H72">
            <v>2</v>
          </cell>
          <cell r="K72">
            <v>0.28999999999999998</v>
          </cell>
          <cell r="L72">
            <v>0.57999999999999996</v>
          </cell>
          <cell r="M72">
            <v>1600</v>
          </cell>
          <cell r="N72">
            <v>3200</v>
          </cell>
          <cell r="O72" t="str">
            <v>견적가</v>
          </cell>
        </row>
        <row r="73">
          <cell r="B73" t="str">
            <v>03980-036</v>
          </cell>
          <cell r="C73" t="str">
            <v>CHANNEL</v>
          </cell>
          <cell r="D73" t="str">
            <v>C S</v>
          </cell>
          <cell r="E73" t="str">
            <v>C100x50x5x7.5</v>
          </cell>
          <cell r="F73">
            <v>450</v>
          </cell>
          <cell r="G73" t="str">
            <v>16320- 80</v>
          </cell>
          <cell r="H73">
            <v>1</v>
          </cell>
          <cell r="K73">
            <v>4.2119999999999997</v>
          </cell>
          <cell r="L73">
            <v>4.2119999999999997</v>
          </cell>
          <cell r="M73">
            <v>1769</v>
          </cell>
          <cell r="N73">
            <v>1769</v>
          </cell>
          <cell r="O73" t="str">
            <v>물정 '98.11 p.46</v>
          </cell>
        </row>
        <row r="74">
          <cell r="B74" t="str">
            <v>03980-037</v>
          </cell>
          <cell r="C74" t="str">
            <v>ANGLE</v>
          </cell>
          <cell r="D74" t="str">
            <v>C S</v>
          </cell>
          <cell r="E74" t="str">
            <v>L75x75x9</v>
          </cell>
          <cell r="F74">
            <v>225</v>
          </cell>
          <cell r="G74" t="str">
            <v>16320- 80</v>
          </cell>
          <cell r="H74">
            <v>1</v>
          </cell>
          <cell r="K74">
            <v>2.2410000000000001</v>
          </cell>
          <cell r="L74">
            <v>2.2410000000000001</v>
          </cell>
          <cell r="M74">
            <v>882</v>
          </cell>
          <cell r="N74">
            <v>882</v>
          </cell>
          <cell r="O74" t="str">
            <v>물정 '98.11 p.45</v>
          </cell>
        </row>
        <row r="75">
          <cell r="B75" t="str">
            <v>03980-038</v>
          </cell>
          <cell r="C75" t="str">
            <v>ANGLE</v>
          </cell>
          <cell r="D75" t="str">
            <v>C S</v>
          </cell>
          <cell r="E75" t="str">
            <v>L75x75x9</v>
          </cell>
          <cell r="F75">
            <v>284</v>
          </cell>
          <cell r="G75" t="str">
            <v>16320- 80</v>
          </cell>
          <cell r="H75">
            <v>2</v>
          </cell>
          <cell r="K75">
            <v>2.8290000000000002</v>
          </cell>
          <cell r="L75">
            <v>5.6580000000000004</v>
          </cell>
          <cell r="M75">
            <v>1114</v>
          </cell>
          <cell r="N75">
            <v>2228</v>
          </cell>
          <cell r="O75" t="str">
            <v>물정 '98.11 p.45</v>
          </cell>
        </row>
        <row r="76">
          <cell r="B76" t="str">
            <v>03980-060</v>
          </cell>
          <cell r="C76" t="str">
            <v>ANGLE</v>
          </cell>
          <cell r="D76" t="str">
            <v>C S</v>
          </cell>
          <cell r="E76" t="str">
            <v>L75x75x9</v>
          </cell>
          <cell r="F76">
            <v>430</v>
          </cell>
          <cell r="G76" t="str">
            <v>16320- 80</v>
          </cell>
          <cell r="H76">
            <v>1</v>
          </cell>
          <cell r="K76">
            <v>4.2830000000000004</v>
          </cell>
          <cell r="L76">
            <v>4.2830000000000004</v>
          </cell>
          <cell r="M76">
            <v>1687</v>
          </cell>
          <cell r="N76">
            <v>1687</v>
          </cell>
          <cell r="O76" t="str">
            <v>물정 '98.11 p.45</v>
          </cell>
        </row>
        <row r="77">
          <cell r="B77" t="str">
            <v>03980-037</v>
          </cell>
          <cell r="C77" t="str">
            <v>ANCHOR BOLT</v>
          </cell>
          <cell r="D77" t="str">
            <v>C S</v>
          </cell>
          <cell r="E77" t="str">
            <v>M12x155L</v>
          </cell>
          <cell r="G77" t="str">
            <v>16320- 80</v>
          </cell>
          <cell r="H77">
            <v>8</v>
          </cell>
          <cell r="K77">
            <v>0.124</v>
          </cell>
          <cell r="L77">
            <v>0.99199999999999999</v>
          </cell>
          <cell r="M77">
            <v>1480</v>
          </cell>
          <cell r="N77">
            <v>11840</v>
          </cell>
          <cell r="O77" t="str">
            <v>견적가</v>
          </cell>
        </row>
        <row r="78">
          <cell r="B78" t="str">
            <v>03980-036</v>
          </cell>
          <cell r="C78" t="str">
            <v>3-BOLT PIPE CLAMP</v>
          </cell>
          <cell r="D78" t="str">
            <v>C S</v>
          </cell>
          <cell r="E78" t="str">
            <v>DN 80</v>
          </cell>
          <cell r="G78" t="str">
            <v>16320- 80</v>
          </cell>
          <cell r="H78">
            <v>1</v>
          </cell>
          <cell r="K78">
            <v>1.36</v>
          </cell>
          <cell r="L78">
            <v>1.36</v>
          </cell>
          <cell r="M78">
            <v>10000</v>
          </cell>
          <cell r="N78">
            <v>10000</v>
          </cell>
          <cell r="O78" t="str">
            <v>견적가</v>
          </cell>
        </row>
        <row r="80">
          <cell r="B80" t="str">
            <v>03980-072</v>
          </cell>
          <cell r="C80" t="str">
            <v>PLATE</v>
          </cell>
          <cell r="D80" t="str">
            <v>C S</v>
          </cell>
          <cell r="E80" t="str">
            <v>PL300x300x15t</v>
          </cell>
          <cell r="G80" t="str">
            <v>22100-200</v>
          </cell>
          <cell r="H80">
            <v>2</v>
          </cell>
          <cell r="K80">
            <v>10.602</v>
          </cell>
          <cell r="L80">
            <v>21.204000000000001</v>
          </cell>
          <cell r="M80">
            <v>4293</v>
          </cell>
          <cell r="N80">
            <v>8586</v>
          </cell>
          <cell r="O80" t="str">
            <v>물정 '98.11 p.50</v>
          </cell>
        </row>
        <row r="81">
          <cell r="B81" t="str">
            <v>03980-072</v>
          </cell>
          <cell r="C81" t="str">
            <v>PLATE</v>
          </cell>
          <cell r="D81" t="str">
            <v>C S</v>
          </cell>
          <cell r="E81" t="str">
            <v>PL107x70x9t</v>
          </cell>
          <cell r="G81" t="str">
            <v>22100-200</v>
          </cell>
          <cell r="H81">
            <v>8</v>
          </cell>
          <cell r="K81">
            <v>0.52900000000000003</v>
          </cell>
          <cell r="L81">
            <v>4.2320000000000002</v>
          </cell>
          <cell r="M81">
            <v>219</v>
          </cell>
          <cell r="N81">
            <v>1752</v>
          </cell>
          <cell r="O81" t="str">
            <v>물정 '98.11 p.50</v>
          </cell>
        </row>
        <row r="82">
          <cell r="B82" t="str">
            <v>03980-077</v>
          </cell>
          <cell r="C82" t="str">
            <v>H-BEAM</v>
          </cell>
          <cell r="D82" t="str">
            <v>C S</v>
          </cell>
          <cell r="E82" t="str">
            <v>H150x150x7x9</v>
          </cell>
          <cell r="F82">
            <v>3300</v>
          </cell>
          <cell r="G82" t="str">
            <v>22100-200</v>
          </cell>
          <cell r="H82">
            <v>1</v>
          </cell>
          <cell r="K82">
            <v>103.95</v>
          </cell>
          <cell r="L82">
            <v>103.95</v>
          </cell>
          <cell r="M82">
            <v>50415</v>
          </cell>
          <cell r="N82">
            <v>50415</v>
          </cell>
          <cell r="O82" t="str">
            <v>물정 '98.11 p.47</v>
          </cell>
        </row>
        <row r="83">
          <cell r="B83" t="str">
            <v>03980-077</v>
          </cell>
          <cell r="C83" t="str">
            <v>H-BEAM</v>
          </cell>
          <cell r="D83" t="str">
            <v>C S</v>
          </cell>
          <cell r="E83" t="str">
            <v>H150x150x7x9</v>
          </cell>
          <cell r="F83">
            <v>535</v>
          </cell>
          <cell r="G83" t="str">
            <v>22100-200</v>
          </cell>
          <cell r="H83">
            <v>2</v>
          </cell>
          <cell r="K83">
            <v>16.853000000000002</v>
          </cell>
          <cell r="L83">
            <v>33.706000000000003</v>
          </cell>
          <cell r="M83">
            <v>8173</v>
          </cell>
          <cell r="N83">
            <v>16346</v>
          </cell>
          <cell r="O83" t="str">
            <v>물정 '98.11 p.47</v>
          </cell>
        </row>
        <row r="84">
          <cell r="B84" t="str">
            <v>03980-072</v>
          </cell>
          <cell r="C84" t="str">
            <v>H-BEAM</v>
          </cell>
          <cell r="D84" t="str">
            <v>C S</v>
          </cell>
          <cell r="E84" t="str">
            <v>H100x100x6x8</v>
          </cell>
          <cell r="F84">
            <v>200</v>
          </cell>
          <cell r="G84" t="str">
            <v>22100-200</v>
          </cell>
          <cell r="H84">
            <v>2</v>
          </cell>
          <cell r="K84">
            <v>3.44</v>
          </cell>
          <cell r="L84">
            <v>6.88</v>
          </cell>
          <cell r="M84">
            <v>1668</v>
          </cell>
          <cell r="N84">
            <v>3336</v>
          </cell>
          <cell r="O84" t="str">
            <v>물정 '98.11 p.47</v>
          </cell>
        </row>
        <row r="85">
          <cell r="B85" t="str">
            <v>03980-072</v>
          </cell>
          <cell r="C85" t="str">
            <v>CT</v>
          </cell>
          <cell r="D85" t="str">
            <v>C S</v>
          </cell>
          <cell r="E85" t="str">
            <v>CT100x150x6x9</v>
          </cell>
          <cell r="F85">
            <v>200</v>
          </cell>
          <cell r="G85" t="str">
            <v>22100-200</v>
          </cell>
          <cell r="H85">
            <v>2</v>
          </cell>
          <cell r="K85">
            <v>3.06</v>
          </cell>
          <cell r="L85">
            <v>6.12</v>
          </cell>
          <cell r="M85">
            <v>1569</v>
          </cell>
          <cell r="N85">
            <v>3138</v>
          </cell>
          <cell r="O85" t="str">
            <v>물정 '98.11 p.48</v>
          </cell>
        </row>
        <row r="86">
          <cell r="B86" t="str">
            <v>03980-072</v>
          </cell>
          <cell r="C86" t="str">
            <v>ANCHOR BOLT</v>
          </cell>
          <cell r="D86" t="str">
            <v>C S</v>
          </cell>
          <cell r="E86" t="str">
            <v>M16x177L</v>
          </cell>
          <cell r="G86" t="str">
            <v>22100-200</v>
          </cell>
          <cell r="H86">
            <v>12</v>
          </cell>
          <cell r="K86">
            <v>0.34699999999999998</v>
          </cell>
          <cell r="L86">
            <v>4.1639999999999997</v>
          </cell>
          <cell r="M86">
            <v>1660</v>
          </cell>
          <cell r="N86">
            <v>19920</v>
          </cell>
          <cell r="O86" t="str">
            <v>견적가</v>
          </cell>
        </row>
        <row r="87">
          <cell r="B87" t="str">
            <v>03980-073</v>
          </cell>
          <cell r="C87" t="str">
            <v>PLATE</v>
          </cell>
          <cell r="D87" t="str">
            <v>C S</v>
          </cell>
          <cell r="E87" t="str">
            <v>PL300x300x15t</v>
          </cell>
          <cell r="G87" t="str">
            <v>22100-300</v>
          </cell>
          <cell r="H87">
            <v>4</v>
          </cell>
          <cell r="K87">
            <v>10.602</v>
          </cell>
          <cell r="L87">
            <v>42.408000000000001</v>
          </cell>
          <cell r="M87">
            <v>4293</v>
          </cell>
          <cell r="N87">
            <v>17172</v>
          </cell>
          <cell r="O87" t="str">
            <v>물정 '98.11 p.50</v>
          </cell>
        </row>
        <row r="88">
          <cell r="B88" t="str">
            <v>03980-077</v>
          </cell>
          <cell r="C88" t="str">
            <v>PLATE</v>
          </cell>
          <cell r="D88" t="str">
            <v>C S</v>
          </cell>
          <cell r="E88" t="str">
            <v>PL300x250x15t</v>
          </cell>
          <cell r="G88" t="str">
            <v>22100-300</v>
          </cell>
          <cell r="H88">
            <v>2</v>
          </cell>
          <cell r="K88">
            <v>8.8350000000000009</v>
          </cell>
          <cell r="L88">
            <v>17.670000000000002</v>
          </cell>
          <cell r="M88">
            <v>3578</v>
          </cell>
          <cell r="N88">
            <v>7156</v>
          </cell>
          <cell r="O88" t="str">
            <v>물정 '98.11 p.50</v>
          </cell>
        </row>
        <row r="89">
          <cell r="B89" t="str">
            <v>03980-102</v>
          </cell>
          <cell r="C89" t="str">
            <v>PLATE</v>
          </cell>
          <cell r="D89" t="str">
            <v>C S</v>
          </cell>
          <cell r="E89" t="str">
            <v>PL300x240x9t</v>
          </cell>
          <cell r="G89" t="str">
            <v>22100-300</v>
          </cell>
          <cell r="H89">
            <v>12</v>
          </cell>
          <cell r="K89">
            <v>5.0869999999999997</v>
          </cell>
          <cell r="L89">
            <v>61.043999999999997</v>
          </cell>
          <cell r="M89">
            <v>2111</v>
          </cell>
          <cell r="N89">
            <v>25332</v>
          </cell>
          <cell r="O89" t="str">
            <v>물정 '98.11 p.50</v>
          </cell>
        </row>
        <row r="90">
          <cell r="B90" t="str">
            <v>03980-084</v>
          </cell>
          <cell r="C90" t="str">
            <v>PLATE</v>
          </cell>
          <cell r="D90" t="str">
            <v>C S</v>
          </cell>
          <cell r="E90" t="str">
            <v>PL270x270x12t</v>
          </cell>
          <cell r="G90" t="str">
            <v>22100-300</v>
          </cell>
          <cell r="H90">
            <v>6</v>
          </cell>
          <cell r="K90">
            <v>6.867</v>
          </cell>
          <cell r="L90">
            <v>41.201999999999998</v>
          </cell>
          <cell r="M90">
            <v>2781</v>
          </cell>
          <cell r="N90">
            <v>16686</v>
          </cell>
          <cell r="O90" t="str">
            <v>물정 '98.11 p.50</v>
          </cell>
        </row>
        <row r="91">
          <cell r="B91" t="str">
            <v>03980-103</v>
          </cell>
          <cell r="C91" t="str">
            <v>PLATE</v>
          </cell>
          <cell r="D91" t="str">
            <v>C S</v>
          </cell>
          <cell r="E91" t="str">
            <v>PL250x98x15t</v>
          </cell>
          <cell r="G91" t="str">
            <v>22100-300</v>
          </cell>
          <cell r="H91">
            <v>20</v>
          </cell>
          <cell r="K91">
            <v>2.8860000000000001</v>
          </cell>
          <cell r="L91">
            <v>57.72</v>
          </cell>
          <cell r="M91">
            <v>1168</v>
          </cell>
          <cell r="N91">
            <v>23360</v>
          </cell>
          <cell r="O91" t="str">
            <v>물정 '98.11 p.50</v>
          </cell>
        </row>
        <row r="92">
          <cell r="B92" t="str">
            <v>03980-074</v>
          </cell>
          <cell r="C92" t="str">
            <v>PLATE</v>
          </cell>
          <cell r="D92" t="str">
            <v>C S</v>
          </cell>
          <cell r="E92" t="str">
            <v>PL220x100x15t</v>
          </cell>
          <cell r="G92" t="str">
            <v>22100-300</v>
          </cell>
          <cell r="H92">
            <v>8</v>
          </cell>
          <cell r="K92">
            <v>2.5920000000000001</v>
          </cell>
          <cell r="L92">
            <v>20.736000000000001</v>
          </cell>
          <cell r="M92">
            <v>1049</v>
          </cell>
          <cell r="N92">
            <v>8392</v>
          </cell>
          <cell r="O92" t="str">
            <v>물정 '98.11 p.50</v>
          </cell>
        </row>
        <row r="93">
          <cell r="B93" t="str">
            <v>03980-102</v>
          </cell>
          <cell r="C93" t="str">
            <v>PLATE</v>
          </cell>
          <cell r="D93" t="str">
            <v>C S</v>
          </cell>
          <cell r="E93" t="str">
            <v>PL200x200x9t</v>
          </cell>
          <cell r="G93" t="str">
            <v>22100-300</v>
          </cell>
          <cell r="H93">
            <v>4</v>
          </cell>
          <cell r="K93">
            <v>2.8260000000000001</v>
          </cell>
          <cell r="L93">
            <v>11.304</v>
          </cell>
          <cell r="M93">
            <v>1172</v>
          </cell>
          <cell r="N93">
            <v>4688</v>
          </cell>
          <cell r="O93" t="str">
            <v>물정 '98.11 p.50</v>
          </cell>
        </row>
        <row r="94">
          <cell r="B94" t="str">
            <v>03980-081</v>
          </cell>
          <cell r="C94" t="str">
            <v>PLATE</v>
          </cell>
          <cell r="D94" t="str">
            <v>C S</v>
          </cell>
          <cell r="E94" t="str">
            <v>PL150x50x15t</v>
          </cell>
          <cell r="G94" t="str">
            <v>22100-300</v>
          </cell>
          <cell r="H94">
            <v>42</v>
          </cell>
          <cell r="K94">
            <v>0.88400000000000001</v>
          </cell>
          <cell r="L94">
            <v>37.128</v>
          </cell>
          <cell r="M94">
            <v>358</v>
          </cell>
          <cell r="N94">
            <v>15036</v>
          </cell>
          <cell r="O94" t="str">
            <v>물정 '98.11 p.50</v>
          </cell>
        </row>
        <row r="95">
          <cell r="B95" t="str">
            <v>03980-102</v>
          </cell>
          <cell r="C95" t="str">
            <v>PLATE</v>
          </cell>
          <cell r="D95" t="str">
            <v>C S</v>
          </cell>
          <cell r="E95" t="str">
            <v>PL140x98x15t</v>
          </cell>
          <cell r="G95" t="str">
            <v>22100-300</v>
          </cell>
          <cell r="H95">
            <v>4</v>
          </cell>
          <cell r="K95">
            <v>1.6160000000000001</v>
          </cell>
          <cell r="L95">
            <v>6.4640000000000004</v>
          </cell>
          <cell r="M95">
            <v>654</v>
          </cell>
          <cell r="N95">
            <v>2616</v>
          </cell>
          <cell r="O95" t="str">
            <v>물정 '98.11 p.50</v>
          </cell>
        </row>
        <row r="96">
          <cell r="B96" t="str">
            <v>03980-073</v>
          </cell>
          <cell r="C96" t="str">
            <v>PLATE</v>
          </cell>
          <cell r="D96" t="str">
            <v>C S</v>
          </cell>
          <cell r="E96" t="str">
            <v>PL103x96x10t</v>
          </cell>
          <cell r="G96" t="str">
            <v>22100-300</v>
          </cell>
          <cell r="H96">
            <v>384</v>
          </cell>
          <cell r="K96">
            <v>0.77600000000000002</v>
          </cell>
          <cell r="L96">
            <v>297.98399999999998</v>
          </cell>
          <cell r="M96">
            <v>314</v>
          </cell>
          <cell r="N96">
            <v>120576</v>
          </cell>
          <cell r="O96" t="str">
            <v>물정 '98.11 p.50</v>
          </cell>
        </row>
        <row r="97">
          <cell r="B97" t="str">
            <v>03980-084</v>
          </cell>
          <cell r="C97" t="str">
            <v>PIPE STD WT</v>
          </cell>
          <cell r="D97" t="str">
            <v>C S</v>
          </cell>
          <cell r="E97" t="str">
            <v>DN200</v>
          </cell>
          <cell r="F97">
            <v>128</v>
          </cell>
          <cell r="G97" t="str">
            <v>22100-300</v>
          </cell>
          <cell r="H97">
            <v>6</v>
          </cell>
          <cell r="K97">
            <v>5.484</v>
          </cell>
          <cell r="L97">
            <v>32.904000000000003</v>
          </cell>
          <cell r="M97">
            <v>312.32</v>
          </cell>
          <cell r="N97">
            <v>1873</v>
          </cell>
          <cell r="O97" t="str">
            <v>물자 '98.11 p.476</v>
          </cell>
        </row>
        <row r="98">
          <cell r="B98" t="str">
            <v>03980-102</v>
          </cell>
          <cell r="C98" t="str">
            <v>PIPE STD WT</v>
          </cell>
          <cell r="D98" t="str">
            <v>C S</v>
          </cell>
          <cell r="E98" t="str">
            <v>DN150</v>
          </cell>
          <cell r="F98">
            <v>220</v>
          </cell>
          <cell r="G98" t="str">
            <v>22100-300</v>
          </cell>
          <cell r="H98">
            <v>4</v>
          </cell>
          <cell r="K98">
            <v>6.22</v>
          </cell>
          <cell r="L98">
            <v>24.88</v>
          </cell>
          <cell r="M98">
            <v>3582.26</v>
          </cell>
          <cell r="N98">
            <v>14329</v>
          </cell>
          <cell r="O98" t="str">
            <v>물자 '98.11 p.476</v>
          </cell>
        </row>
        <row r="99">
          <cell r="B99" t="str">
            <v>03980-101</v>
          </cell>
          <cell r="C99" t="str">
            <v>H-BEAM</v>
          </cell>
          <cell r="D99" t="str">
            <v>C S</v>
          </cell>
          <cell r="E99" t="str">
            <v>H150x150x7x9</v>
          </cell>
          <cell r="F99">
            <v>302</v>
          </cell>
          <cell r="G99" t="str">
            <v>22100-300</v>
          </cell>
          <cell r="H99">
            <v>2</v>
          </cell>
          <cell r="K99">
            <v>9.5129999999999999</v>
          </cell>
          <cell r="L99">
            <v>19.026</v>
          </cell>
          <cell r="M99">
            <v>4613</v>
          </cell>
          <cell r="N99">
            <v>9226</v>
          </cell>
          <cell r="O99" t="str">
            <v>물정 '98.11 p.47</v>
          </cell>
        </row>
        <row r="100">
          <cell r="B100" t="str">
            <v>03980-087</v>
          </cell>
          <cell r="C100" t="str">
            <v>H-BEAM</v>
          </cell>
          <cell r="D100" t="str">
            <v>C S</v>
          </cell>
          <cell r="E100" t="str">
            <v>H150x100x6x9</v>
          </cell>
          <cell r="F100">
            <v>775</v>
          </cell>
          <cell r="G100" t="str">
            <v>22100-300</v>
          </cell>
          <cell r="H100">
            <v>5</v>
          </cell>
          <cell r="K100">
            <v>16.353000000000002</v>
          </cell>
          <cell r="L100">
            <v>81.765000000000001</v>
          </cell>
          <cell r="M100">
            <v>7931</v>
          </cell>
          <cell r="N100">
            <v>39655</v>
          </cell>
          <cell r="O100" t="str">
            <v>물정 '98.11 p.47</v>
          </cell>
        </row>
        <row r="101">
          <cell r="B101" t="str">
            <v>03980-087</v>
          </cell>
          <cell r="C101" t="str">
            <v>H-BEAM</v>
          </cell>
          <cell r="D101" t="str">
            <v>C S</v>
          </cell>
          <cell r="E101" t="str">
            <v>H150x100x6x9</v>
          </cell>
          <cell r="F101">
            <v>1800</v>
          </cell>
          <cell r="G101" t="str">
            <v>22100-300</v>
          </cell>
          <cell r="H101">
            <v>10</v>
          </cell>
          <cell r="K101">
            <v>37.979999999999997</v>
          </cell>
          <cell r="L101">
            <v>379.8</v>
          </cell>
          <cell r="M101">
            <v>18420</v>
          </cell>
          <cell r="N101">
            <v>184200</v>
          </cell>
          <cell r="O101" t="str">
            <v>물정 '98.11 p.47</v>
          </cell>
        </row>
        <row r="102">
          <cell r="B102" t="str">
            <v>03980-073</v>
          </cell>
          <cell r="C102" t="str">
            <v>H-BEAM</v>
          </cell>
          <cell r="D102" t="str">
            <v>C S</v>
          </cell>
          <cell r="E102" t="str">
            <v>H100x100x6x8</v>
          </cell>
          <cell r="F102">
            <v>520</v>
          </cell>
          <cell r="G102" t="str">
            <v>22100-300</v>
          </cell>
          <cell r="H102">
            <v>2</v>
          </cell>
          <cell r="K102">
            <v>8.9440000000000008</v>
          </cell>
          <cell r="L102">
            <v>17.888000000000002</v>
          </cell>
          <cell r="M102">
            <v>4337</v>
          </cell>
          <cell r="N102">
            <v>8674</v>
          </cell>
          <cell r="O102" t="str">
            <v>물정 '98.11 p.47</v>
          </cell>
        </row>
        <row r="103">
          <cell r="B103" t="str">
            <v>03980-091</v>
          </cell>
          <cell r="C103" t="str">
            <v>H-BEAM</v>
          </cell>
          <cell r="D103" t="str">
            <v>C S</v>
          </cell>
          <cell r="E103" t="str">
            <v>H100x100x6x8</v>
          </cell>
          <cell r="F103">
            <v>1000</v>
          </cell>
          <cell r="G103" t="str">
            <v>22100-300</v>
          </cell>
          <cell r="H103">
            <v>3</v>
          </cell>
          <cell r="K103">
            <v>17.2</v>
          </cell>
          <cell r="L103">
            <v>51.6</v>
          </cell>
          <cell r="M103">
            <v>8342</v>
          </cell>
          <cell r="N103">
            <v>25026</v>
          </cell>
          <cell r="O103" t="str">
            <v>물정 '98.11 p.47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refreshError="1">
        <row r="8">
          <cell r="A8" t="str">
            <v>HBY</v>
          </cell>
        </row>
        <row r="9">
          <cell r="A9" t="str">
            <v>85500-001</v>
          </cell>
          <cell r="B9" t="str">
            <v>ANCHOR BOLT</v>
          </cell>
          <cell r="C9" t="str">
            <v>C S</v>
          </cell>
          <cell r="D9" t="str">
            <v>M10x80L</v>
          </cell>
          <cell r="F9" t="str">
            <v>71730-150</v>
          </cell>
          <cell r="G9">
            <v>64</v>
          </cell>
          <cell r="H9">
            <v>0.11</v>
          </cell>
          <cell r="I9">
            <v>7.04</v>
          </cell>
        </row>
        <row r="10">
          <cell r="A10" t="str">
            <v>85500-001</v>
          </cell>
          <cell r="B10" t="str">
            <v>ANGLE</v>
          </cell>
          <cell r="C10" t="str">
            <v>C S</v>
          </cell>
          <cell r="D10" t="str">
            <v>L50X50X6</v>
          </cell>
          <cell r="E10">
            <v>1800</v>
          </cell>
          <cell r="F10" t="str">
            <v>71730-150</v>
          </cell>
          <cell r="G10">
            <v>1</v>
          </cell>
          <cell r="H10">
            <v>27.02</v>
          </cell>
          <cell r="I10">
            <v>27.02</v>
          </cell>
          <cell r="J10">
            <v>0.05</v>
          </cell>
        </row>
        <row r="11">
          <cell r="A11" t="str">
            <v>85500-001</v>
          </cell>
          <cell r="B11" t="str">
            <v>CHANNEL</v>
          </cell>
          <cell r="C11" t="str">
            <v>C S</v>
          </cell>
          <cell r="D11" t="str">
            <v>ㄷ100x50x5</v>
          </cell>
          <cell r="E11">
            <v>6100</v>
          </cell>
          <cell r="F11" t="str">
            <v>71730-150</v>
          </cell>
          <cell r="G11">
            <v>1</v>
          </cell>
          <cell r="H11">
            <v>57.1</v>
          </cell>
          <cell r="I11">
            <v>57.1</v>
          </cell>
          <cell r="J11">
            <v>0.05</v>
          </cell>
        </row>
        <row r="12">
          <cell r="A12" t="str">
            <v>85500-001</v>
          </cell>
          <cell r="B12" t="str">
            <v>CHANNEL</v>
          </cell>
          <cell r="C12" t="str">
            <v>C S</v>
          </cell>
          <cell r="D12" t="str">
            <v>ㄷ100x50x5</v>
          </cell>
          <cell r="E12">
            <v>2150</v>
          </cell>
          <cell r="F12" t="str">
            <v>71730-150</v>
          </cell>
          <cell r="G12">
            <v>5</v>
          </cell>
          <cell r="H12">
            <v>20.12</v>
          </cell>
          <cell r="I12">
            <v>100.6</v>
          </cell>
          <cell r="J12">
            <v>0.05</v>
          </cell>
        </row>
        <row r="13">
          <cell r="A13" t="str">
            <v>85500-001</v>
          </cell>
          <cell r="B13" t="str">
            <v>CHANNEL</v>
          </cell>
          <cell r="C13" t="str">
            <v>C S</v>
          </cell>
          <cell r="D13" t="str">
            <v>ㄷ100x50x5</v>
          </cell>
          <cell r="E13">
            <v>1900</v>
          </cell>
          <cell r="F13" t="str">
            <v>71730-150</v>
          </cell>
          <cell r="G13">
            <v>3</v>
          </cell>
          <cell r="H13">
            <v>17.78</v>
          </cell>
          <cell r="I13">
            <v>53.34</v>
          </cell>
          <cell r="J13">
            <v>0.05</v>
          </cell>
        </row>
        <row r="14">
          <cell r="A14" t="str">
            <v>85500-001</v>
          </cell>
          <cell r="B14" t="str">
            <v>STEEL PLATE</v>
          </cell>
          <cell r="C14" t="str">
            <v>C S</v>
          </cell>
          <cell r="D14" t="str">
            <v>PL150x150x9</v>
          </cell>
          <cell r="F14" t="str">
            <v>71730-150</v>
          </cell>
          <cell r="G14">
            <v>16</v>
          </cell>
          <cell r="H14">
            <v>1.59</v>
          </cell>
          <cell r="I14">
            <v>25.44</v>
          </cell>
          <cell r="J14">
            <v>0.1</v>
          </cell>
        </row>
        <row r="15">
          <cell r="A15" t="str">
            <v>85500-001</v>
          </cell>
          <cell r="B15" t="str">
            <v>U-BOLT</v>
          </cell>
          <cell r="C15" t="str">
            <v>C S</v>
          </cell>
          <cell r="D15" t="str">
            <v>DN150</v>
          </cell>
          <cell r="F15" t="str">
            <v>71730-150</v>
          </cell>
          <cell r="G15">
            <v>22</v>
          </cell>
          <cell r="H15">
            <v>1.1499999999999999</v>
          </cell>
          <cell r="I15">
            <v>25.3</v>
          </cell>
        </row>
        <row r="16">
          <cell r="A16" t="str">
            <v>85500-002</v>
          </cell>
          <cell r="B16" t="str">
            <v>ANCHOR BOLT</v>
          </cell>
          <cell r="C16" t="str">
            <v>C S</v>
          </cell>
          <cell r="D16" t="str">
            <v>M10x80L</v>
          </cell>
          <cell r="F16" t="str">
            <v>71730-125</v>
          </cell>
          <cell r="G16">
            <v>20</v>
          </cell>
          <cell r="H16">
            <v>0.11</v>
          </cell>
          <cell r="I16">
            <v>2.2000000000000002</v>
          </cell>
        </row>
        <row r="17">
          <cell r="A17" t="str">
            <v>85500-002</v>
          </cell>
          <cell r="B17" t="str">
            <v>CHANNEL</v>
          </cell>
          <cell r="C17" t="str">
            <v>C S</v>
          </cell>
          <cell r="D17" t="str">
            <v>ㄷ100x50x5</v>
          </cell>
          <cell r="E17">
            <v>2710</v>
          </cell>
          <cell r="F17" t="str">
            <v>71730-125</v>
          </cell>
          <cell r="G17">
            <v>1</v>
          </cell>
          <cell r="H17">
            <v>25.37</v>
          </cell>
          <cell r="I17">
            <v>25.37</v>
          </cell>
          <cell r="J17">
            <v>0.05</v>
          </cell>
        </row>
        <row r="18">
          <cell r="A18" t="str">
            <v>85500-002</v>
          </cell>
          <cell r="B18" t="str">
            <v>CHANNEL</v>
          </cell>
          <cell r="C18" t="str">
            <v>C S</v>
          </cell>
          <cell r="D18" t="str">
            <v>ㄷ100x50x5</v>
          </cell>
          <cell r="E18">
            <v>2230</v>
          </cell>
          <cell r="F18" t="str">
            <v>71730-125</v>
          </cell>
          <cell r="G18">
            <v>1</v>
          </cell>
          <cell r="H18">
            <v>20.87</v>
          </cell>
          <cell r="I18">
            <v>20.87</v>
          </cell>
          <cell r="J18">
            <v>0.05</v>
          </cell>
        </row>
        <row r="19">
          <cell r="A19" t="str">
            <v>85500-002</v>
          </cell>
          <cell r="B19" t="str">
            <v>CHANNEL</v>
          </cell>
          <cell r="C19" t="str">
            <v>C S</v>
          </cell>
          <cell r="D19" t="str">
            <v>ㄷ100x50x5</v>
          </cell>
          <cell r="E19">
            <v>3200</v>
          </cell>
          <cell r="F19" t="str">
            <v>71730-125</v>
          </cell>
          <cell r="G19">
            <v>1</v>
          </cell>
          <cell r="H19">
            <v>29.55</v>
          </cell>
          <cell r="I19">
            <v>29.55</v>
          </cell>
          <cell r="J19">
            <v>0.05</v>
          </cell>
        </row>
        <row r="20">
          <cell r="A20" t="str">
            <v>85500-002</v>
          </cell>
          <cell r="B20" t="str">
            <v>STEEL PLATE</v>
          </cell>
          <cell r="C20" t="str">
            <v>C S</v>
          </cell>
          <cell r="D20" t="str">
            <v>PL150x150x9</v>
          </cell>
          <cell r="F20" t="str">
            <v>71730-125</v>
          </cell>
          <cell r="G20">
            <v>5</v>
          </cell>
          <cell r="H20">
            <v>1.59</v>
          </cell>
          <cell r="I20">
            <v>7.95</v>
          </cell>
          <cell r="J20">
            <v>0.1</v>
          </cell>
        </row>
        <row r="21">
          <cell r="A21" t="str">
            <v>85500-002</v>
          </cell>
          <cell r="B21" t="str">
            <v>U-BOLT</v>
          </cell>
          <cell r="C21" t="str">
            <v>C S</v>
          </cell>
          <cell r="D21" t="str">
            <v>DN125</v>
          </cell>
          <cell r="F21" t="str">
            <v>71730-125</v>
          </cell>
          <cell r="G21">
            <v>10</v>
          </cell>
          <cell r="H21">
            <v>1</v>
          </cell>
          <cell r="I21">
            <v>10</v>
          </cell>
        </row>
        <row r="22">
          <cell r="A22" t="str">
            <v>85500-005</v>
          </cell>
          <cell r="B22" t="str">
            <v>ANGLE</v>
          </cell>
          <cell r="C22" t="str">
            <v>C S</v>
          </cell>
          <cell r="D22" t="str">
            <v>L50X50X6</v>
          </cell>
          <cell r="E22">
            <v>1000</v>
          </cell>
          <cell r="F22" t="str">
            <v>71730- 50</v>
          </cell>
          <cell r="G22">
            <v>15</v>
          </cell>
          <cell r="H22">
            <v>4.43</v>
          </cell>
          <cell r="I22">
            <v>66.45</v>
          </cell>
          <cell r="J22">
            <v>0.05</v>
          </cell>
        </row>
        <row r="23">
          <cell r="A23" t="str">
            <v>85500-005</v>
          </cell>
          <cell r="B23" t="str">
            <v>ANGLE</v>
          </cell>
          <cell r="C23" t="str">
            <v>C S</v>
          </cell>
          <cell r="D23" t="str">
            <v>L50X50X6</v>
          </cell>
          <cell r="E23">
            <v>500</v>
          </cell>
          <cell r="F23" t="str">
            <v>71730- 50</v>
          </cell>
          <cell r="G23">
            <v>8</v>
          </cell>
          <cell r="H23">
            <v>2.2000000000000002</v>
          </cell>
          <cell r="I23">
            <v>17.600000000000001</v>
          </cell>
          <cell r="J23">
            <v>0.05</v>
          </cell>
        </row>
        <row r="24">
          <cell r="A24" t="str">
            <v>85500-006</v>
          </cell>
          <cell r="B24" t="str">
            <v>ANGLE</v>
          </cell>
          <cell r="C24" t="str">
            <v>C S</v>
          </cell>
          <cell r="D24" t="str">
            <v>L50X50X6</v>
          </cell>
          <cell r="E24">
            <v>1100</v>
          </cell>
          <cell r="F24" t="str">
            <v>71730- 50</v>
          </cell>
          <cell r="G24">
            <v>8</v>
          </cell>
          <cell r="H24">
            <v>4.87</v>
          </cell>
          <cell r="I24">
            <v>38.96</v>
          </cell>
          <cell r="J24">
            <v>0.05</v>
          </cell>
        </row>
        <row r="25">
          <cell r="A25" t="str">
            <v>85500-005</v>
          </cell>
          <cell r="B25" t="str">
            <v>STEEL PLATE</v>
          </cell>
          <cell r="C25" t="str">
            <v>C S</v>
          </cell>
          <cell r="D25" t="str">
            <v>PL150x150x9</v>
          </cell>
          <cell r="F25" t="str">
            <v>71730- 50</v>
          </cell>
          <cell r="G25">
            <v>31</v>
          </cell>
          <cell r="H25">
            <v>1.59</v>
          </cell>
          <cell r="I25">
            <v>49.29</v>
          </cell>
          <cell r="J25">
            <v>0.1</v>
          </cell>
        </row>
        <row r="26">
          <cell r="A26" t="str">
            <v>85500-005</v>
          </cell>
          <cell r="B26" t="str">
            <v>U-BOLT</v>
          </cell>
          <cell r="C26" t="str">
            <v>C S</v>
          </cell>
          <cell r="D26" t="str">
            <v>DN50</v>
          </cell>
          <cell r="F26" t="str">
            <v>71730- 50</v>
          </cell>
          <cell r="G26">
            <v>62</v>
          </cell>
          <cell r="H26">
            <v>0.17</v>
          </cell>
          <cell r="I26">
            <v>10.54</v>
          </cell>
        </row>
        <row r="27">
          <cell r="A27" t="str">
            <v>85500-004</v>
          </cell>
          <cell r="B27" t="str">
            <v>ANGLE</v>
          </cell>
          <cell r="C27" t="str">
            <v>C S</v>
          </cell>
          <cell r="D27" t="str">
            <v>L50X50X6</v>
          </cell>
          <cell r="E27">
            <v>1800</v>
          </cell>
          <cell r="F27" t="str">
            <v>71730- 25</v>
          </cell>
          <cell r="G27">
            <v>13</v>
          </cell>
          <cell r="H27">
            <v>7.97</v>
          </cell>
          <cell r="I27">
            <v>103.61</v>
          </cell>
          <cell r="J27">
            <v>0.05</v>
          </cell>
        </row>
        <row r="28">
          <cell r="A28" t="str">
            <v>85500-005</v>
          </cell>
          <cell r="B28" t="str">
            <v>ANGLE</v>
          </cell>
          <cell r="C28" t="str">
            <v>C S</v>
          </cell>
          <cell r="D28" t="str">
            <v>L50X50X6</v>
          </cell>
          <cell r="E28">
            <v>500</v>
          </cell>
          <cell r="F28" t="str">
            <v>71730- 25</v>
          </cell>
          <cell r="G28">
            <v>4</v>
          </cell>
          <cell r="H28">
            <v>2.2200000000000002</v>
          </cell>
          <cell r="I28">
            <v>8.8800000000000008</v>
          </cell>
          <cell r="J28">
            <v>0.05</v>
          </cell>
        </row>
        <row r="29">
          <cell r="A29" t="str">
            <v>85500-006</v>
          </cell>
          <cell r="B29" t="str">
            <v>ANGLE</v>
          </cell>
          <cell r="C29" t="str">
            <v>C S</v>
          </cell>
          <cell r="D29" t="str">
            <v>L50X50X6</v>
          </cell>
          <cell r="E29">
            <v>1100</v>
          </cell>
          <cell r="F29" t="str">
            <v>71730- 25</v>
          </cell>
          <cell r="G29">
            <v>10</v>
          </cell>
          <cell r="H29">
            <v>4.87</v>
          </cell>
          <cell r="I29">
            <v>48.7</v>
          </cell>
          <cell r="J29">
            <v>0.05</v>
          </cell>
        </row>
        <row r="30">
          <cell r="A30" t="str">
            <v>85500-006</v>
          </cell>
          <cell r="B30" t="str">
            <v>ANGLE</v>
          </cell>
          <cell r="C30" t="str">
            <v>C S</v>
          </cell>
          <cell r="D30" t="str">
            <v>L50X50X6</v>
          </cell>
          <cell r="E30">
            <v>2100</v>
          </cell>
          <cell r="F30" t="str">
            <v>71730- 25</v>
          </cell>
          <cell r="G30">
            <v>10</v>
          </cell>
          <cell r="H30">
            <v>9.3000000000000007</v>
          </cell>
          <cell r="I30">
            <v>93</v>
          </cell>
          <cell r="J30">
            <v>0.05</v>
          </cell>
        </row>
        <row r="31">
          <cell r="A31" t="str">
            <v>85500-008</v>
          </cell>
          <cell r="B31" t="str">
            <v>ANGLE</v>
          </cell>
          <cell r="C31" t="str">
            <v>C S</v>
          </cell>
          <cell r="D31" t="str">
            <v>L50X50X6</v>
          </cell>
          <cell r="E31">
            <v>2000</v>
          </cell>
          <cell r="F31" t="str">
            <v>71730- 25</v>
          </cell>
          <cell r="G31">
            <v>1</v>
          </cell>
          <cell r="H31">
            <v>8.86</v>
          </cell>
          <cell r="I31">
            <v>8.86</v>
          </cell>
          <cell r="J31">
            <v>0.05</v>
          </cell>
        </row>
        <row r="32">
          <cell r="A32" t="str">
            <v>85500-004</v>
          </cell>
          <cell r="B32" t="str">
            <v>STEEL PLATE</v>
          </cell>
          <cell r="C32" t="str">
            <v>C S</v>
          </cell>
          <cell r="D32" t="str">
            <v>PL150x150x9</v>
          </cell>
          <cell r="F32" t="str">
            <v>71730- 25</v>
          </cell>
          <cell r="G32">
            <v>38</v>
          </cell>
          <cell r="H32">
            <v>1.59</v>
          </cell>
          <cell r="I32">
            <v>60.42</v>
          </cell>
          <cell r="J32">
            <v>0.1</v>
          </cell>
        </row>
        <row r="33">
          <cell r="A33" t="str">
            <v>85500-004</v>
          </cell>
          <cell r="B33" t="str">
            <v>U-BOLT</v>
          </cell>
          <cell r="C33" t="str">
            <v>C S</v>
          </cell>
          <cell r="D33" t="str">
            <v>DN25</v>
          </cell>
          <cell r="F33" t="str">
            <v>71730- 25</v>
          </cell>
          <cell r="G33">
            <v>47</v>
          </cell>
          <cell r="H33">
            <v>0.14000000000000001</v>
          </cell>
          <cell r="I33">
            <v>6.58</v>
          </cell>
        </row>
        <row r="35">
          <cell r="A35" t="str">
            <v>XBK</v>
          </cell>
        </row>
        <row r="36">
          <cell r="A36" t="str">
            <v>85500-002</v>
          </cell>
          <cell r="B36" t="str">
            <v>ANCHOR BOLT</v>
          </cell>
          <cell r="C36" t="str">
            <v>C S</v>
          </cell>
          <cell r="D36" t="str">
            <v>M10x80L</v>
          </cell>
          <cell r="F36" t="str">
            <v>71730-150</v>
          </cell>
          <cell r="G36">
            <v>36</v>
          </cell>
          <cell r="H36">
            <v>0.11</v>
          </cell>
          <cell r="I36">
            <v>3.96</v>
          </cell>
        </row>
        <row r="37">
          <cell r="A37" t="str">
            <v>85500-002</v>
          </cell>
          <cell r="B37" t="str">
            <v>CHANNEL</v>
          </cell>
          <cell r="C37" t="str">
            <v>C S</v>
          </cell>
          <cell r="D37" t="str">
            <v>ㄷ100x50x5</v>
          </cell>
          <cell r="E37">
            <v>2700</v>
          </cell>
          <cell r="F37" t="str">
            <v>71730-150</v>
          </cell>
          <cell r="G37">
            <v>4</v>
          </cell>
          <cell r="H37">
            <v>25.27</v>
          </cell>
          <cell r="I37">
            <v>101.08</v>
          </cell>
          <cell r="J37">
            <v>0.05</v>
          </cell>
        </row>
        <row r="38">
          <cell r="A38" t="str">
            <v>85500-002</v>
          </cell>
          <cell r="B38" t="str">
            <v>CHANNEL</v>
          </cell>
          <cell r="C38" t="str">
            <v>C S</v>
          </cell>
          <cell r="D38" t="str">
            <v>ㄷ100x50x5</v>
          </cell>
          <cell r="E38">
            <v>300</v>
          </cell>
          <cell r="F38" t="str">
            <v>71730-150</v>
          </cell>
          <cell r="G38">
            <v>1</v>
          </cell>
          <cell r="H38">
            <v>2.81</v>
          </cell>
          <cell r="I38">
            <v>2.81</v>
          </cell>
          <cell r="J38">
            <v>0.05</v>
          </cell>
        </row>
        <row r="39">
          <cell r="A39" t="str">
            <v>85500-002</v>
          </cell>
          <cell r="B39" t="str">
            <v>H-BEAM</v>
          </cell>
          <cell r="C39" t="str">
            <v>C S</v>
          </cell>
          <cell r="D39" t="str">
            <v>H100X100X6X8</v>
          </cell>
          <cell r="E39">
            <v>2300</v>
          </cell>
          <cell r="F39" t="str">
            <v>71730-150</v>
          </cell>
          <cell r="G39">
            <v>1</v>
          </cell>
          <cell r="H39">
            <v>39.56</v>
          </cell>
          <cell r="I39">
            <v>39.56</v>
          </cell>
          <cell r="J39">
            <v>7.0000000000000007E-2</v>
          </cell>
        </row>
        <row r="40">
          <cell r="A40" t="str">
            <v>85500-008</v>
          </cell>
          <cell r="B40" t="str">
            <v>H-BEAM</v>
          </cell>
          <cell r="C40" t="str">
            <v>C S</v>
          </cell>
          <cell r="D40" t="str">
            <v>H100X100X6X8</v>
          </cell>
          <cell r="E40">
            <v>5900</v>
          </cell>
          <cell r="F40" t="str">
            <v>71730-150</v>
          </cell>
          <cell r="G40">
            <v>4</v>
          </cell>
          <cell r="H40">
            <v>101.48</v>
          </cell>
          <cell r="I40">
            <v>405.92</v>
          </cell>
          <cell r="J40">
            <v>7.0000000000000007E-2</v>
          </cell>
        </row>
        <row r="41">
          <cell r="A41" t="str">
            <v>85500-002</v>
          </cell>
          <cell r="B41" t="str">
            <v>STEEL PLATE</v>
          </cell>
          <cell r="C41" t="str">
            <v>C S</v>
          </cell>
          <cell r="D41" t="str">
            <v>PL150x150x9</v>
          </cell>
          <cell r="F41" t="str">
            <v>71730-150</v>
          </cell>
          <cell r="G41">
            <v>17</v>
          </cell>
          <cell r="H41">
            <v>1.59</v>
          </cell>
          <cell r="I41">
            <v>27.03</v>
          </cell>
          <cell r="J41">
            <v>0.1</v>
          </cell>
        </row>
        <row r="42">
          <cell r="A42" t="str">
            <v>85500-002</v>
          </cell>
          <cell r="B42" t="str">
            <v>U-BOLT</v>
          </cell>
          <cell r="C42" t="str">
            <v>C S</v>
          </cell>
          <cell r="D42" t="str">
            <v>DN150</v>
          </cell>
          <cell r="F42" t="str">
            <v>71730-150</v>
          </cell>
          <cell r="G42">
            <v>17</v>
          </cell>
          <cell r="H42">
            <v>1.1499999999999999</v>
          </cell>
          <cell r="I42">
            <v>19.55</v>
          </cell>
        </row>
        <row r="43">
          <cell r="A43" t="str">
            <v>85500-002</v>
          </cell>
          <cell r="B43" t="str">
            <v>ANCHOR BOLT</v>
          </cell>
          <cell r="C43" t="str">
            <v>C S</v>
          </cell>
          <cell r="D43" t="str">
            <v>M10x80L</v>
          </cell>
          <cell r="F43" t="str">
            <v>71730-125</v>
          </cell>
          <cell r="G43">
            <v>16</v>
          </cell>
          <cell r="H43">
            <v>0.11</v>
          </cell>
          <cell r="I43">
            <v>1.76</v>
          </cell>
        </row>
        <row r="44">
          <cell r="A44" t="str">
            <v>85500-002</v>
          </cell>
          <cell r="B44" t="str">
            <v>CHANNEL</v>
          </cell>
          <cell r="C44" t="str">
            <v>C S</v>
          </cell>
          <cell r="D44" t="str">
            <v>ㄷ100x50x5</v>
          </cell>
          <cell r="E44">
            <v>300</v>
          </cell>
          <cell r="F44" t="str">
            <v>71730-125</v>
          </cell>
          <cell r="G44">
            <v>2</v>
          </cell>
          <cell r="H44">
            <v>2.81</v>
          </cell>
          <cell r="I44">
            <v>5.62</v>
          </cell>
          <cell r="J44">
            <v>0.05</v>
          </cell>
        </row>
        <row r="45">
          <cell r="A45" t="str">
            <v>85500-002</v>
          </cell>
          <cell r="B45" t="str">
            <v>H-BEAM</v>
          </cell>
          <cell r="C45" t="str">
            <v>C S</v>
          </cell>
          <cell r="D45" t="str">
            <v>H100X100X6X8</v>
          </cell>
          <cell r="E45">
            <v>2000</v>
          </cell>
          <cell r="F45" t="str">
            <v>71730-125</v>
          </cell>
          <cell r="G45">
            <v>3</v>
          </cell>
          <cell r="H45">
            <v>34.4</v>
          </cell>
          <cell r="I45">
            <v>103.2</v>
          </cell>
          <cell r="J45">
            <v>7.0000000000000007E-2</v>
          </cell>
        </row>
        <row r="46">
          <cell r="A46" t="str">
            <v>85500-002</v>
          </cell>
          <cell r="B46" t="str">
            <v>PIPE STD WT</v>
          </cell>
          <cell r="C46" t="str">
            <v>C S</v>
          </cell>
          <cell r="D46" t="str">
            <v>DN100</v>
          </cell>
          <cell r="E46">
            <v>2300</v>
          </cell>
          <cell r="F46" t="str">
            <v>71730-125</v>
          </cell>
          <cell r="G46">
            <v>1</v>
          </cell>
          <cell r="H46">
            <v>28.06</v>
          </cell>
          <cell r="I46">
            <v>28.06</v>
          </cell>
          <cell r="J46">
            <v>0.05</v>
          </cell>
        </row>
        <row r="47">
          <cell r="A47" t="str">
            <v>85500-002</v>
          </cell>
          <cell r="B47" t="str">
            <v>PIPE STD WT</v>
          </cell>
          <cell r="C47" t="str">
            <v>C S</v>
          </cell>
          <cell r="D47" t="str">
            <v>DN100</v>
          </cell>
          <cell r="E47">
            <v>2000</v>
          </cell>
          <cell r="F47" t="str">
            <v>71730-125</v>
          </cell>
          <cell r="G47">
            <v>1</v>
          </cell>
          <cell r="H47">
            <v>24.4</v>
          </cell>
          <cell r="I47">
            <v>24.4</v>
          </cell>
          <cell r="J47">
            <v>0.05</v>
          </cell>
        </row>
        <row r="48">
          <cell r="A48" t="str">
            <v>85500-002</v>
          </cell>
          <cell r="B48" t="str">
            <v>STEEL PLATE</v>
          </cell>
          <cell r="C48" t="str">
            <v>C S</v>
          </cell>
          <cell r="D48" t="str">
            <v>PL150x150x9</v>
          </cell>
          <cell r="F48" t="str">
            <v>71730-125</v>
          </cell>
          <cell r="G48">
            <v>4</v>
          </cell>
          <cell r="H48">
            <v>1.59</v>
          </cell>
          <cell r="I48">
            <v>6.36</v>
          </cell>
          <cell r="J48">
            <v>0.1</v>
          </cell>
        </row>
        <row r="49">
          <cell r="A49" t="str">
            <v>85500-002</v>
          </cell>
          <cell r="B49" t="str">
            <v>U-BOLT</v>
          </cell>
          <cell r="C49" t="str">
            <v>C S</v>
          </cell>
          <cell r="D49" t="str">
            <v>DN125</v>
          </cell>
          <cell r="F49" t="str">
            <v>71730-125</v>
          </cell>
          <cell r="G49">
            <v>2</v>
          </cell>
          <cell r="H49">
            <v>1</v>
          </cell>
          <cell r="I49">
            <v>2</v>
          </cell>
        </row>
        <row r="50">
          <cell r="A50" t="str">
            <v>85500-008</v>
          </cell>
          <cell r="B50" t="str">
            <v>H-BEAM</v>
          </cell>
          <cell r="C50" t="str">
            <v>C S</v>
          </cell>
          <cell r="D50" t="str">
            <v>H100X100X6X8</v>
          </cell>
          <cell r="E50">
            <v>5900</v>
          </cell>
          <cell r="F50" t="str">
            <v>71730-100</v>
          </cell>
          <cell r="G50">
            <v>2</v>
          </cell>
          <cell r="H50">
            <v>101.48</v>
          </cell>
          <cell r="I50">
            <v>202.96</v>
          </cell>
          <cell r="J50">
            <v>7.0000000000000007E-2</v>
          </cell>
        </row>
        <row r="51">
          <cell r="A51" t="str">
            <v>85500-008</v>
          </cell>
          <cell r="B51" t="str">
            <v>H-BEAM</v>
          </cell>
          <cell r="C51" t="str">
            <v>C S</v>
          </cell>
          <cell r="D51" t="str">
            <v>H100X100X6X8</v>
          </cell>
          <cell r="E51">
            <v>4280</v>
          </cell>
          <cell r="F51" t="str">
            <v>71730-100</v>
          </cell>
          <cell r="G51">
            <v>1</v>
          </cell>
          <cell r="H51">
            <v>73.62</v>
          </cell>
          <cell r="I51">
            <v>73.62</v>
          </cell>
          <cell r="J51">
            <v>7.0000000000000007E-2</v>
          </cell>
        </row>
        <row r="52">
          <cell r="A52" t="str">
            <v>85500-008</v>
          </cell>
          <cell r="B52" t="str">
            <v>STEEL PLATE</v>
          </cell>
          <cell r="C52" t="str">
            <v>C S</v>
          </cell>
          <cell r="D52" t="str">
            <v>PL150x150x9</v>
          </cell>
          <cell r="F52" t="str">
            <v>71730-100</v>
          </cell>
          <cell r="G52">
            <v>6</v>
          </cell>
          <cell r="H52">
            <v>1.59</v>
          </cell>
          <cell r="I52">
            <v>9.5399999999999991</v>
          </cell>
          <cell r="J52">
            <v>0.1</v>
          </cell>
        </row>
        <row r="53">
          <cell r="A53" t="str">
            <v>85500-008</v>
          </cell>
          <cell r="B53" t="str">
            <v>U-BOLT</v>
          </cell>
          <cell r="C53" t="str">
            <v>C S</v>
          </cell>
          <cell r="D53" t="str">
            <v>DN100</v>
          </cell>
          <cell r="F53" t="str">
            <v>71730-100</v>
          </cell>
          <cell r="G53">
            <v>8</v>
          </cell>
          <cell r="H53">
            <v>0.45</v>
          </cell>
          <cell r="I53">
            <v>3.6</v>
          </cell>
        </row>
      </sheetData>
      <sheetData sheetId="38" refreshError="1"/>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LU"/>
      <sheetName val="TGL LU"/>
      <sheetName val="Load  &amp; Thermal Curve"/>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소화실적"/>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ontent"/>
      <sheetName val="Project Outline"/>
      <sheetName val="주요공사"/>
      <sheetName val="Contractual Amount"/>
      <sheetName val="시헹예산"/>
      <sheetName val="TENDER vs BUDGET"/>
      <sheetName val="직영 vs 하청 - 2"/>
      <sheetName val="96 당초Schedule"/>
      <sheetName val="96 Performance"/>
      <sheetName val="소화-투입 분석표"/>
      <sheetName val="STF ORG(K)"/>
      <sheetName val="Staff Org. Chart"/>
      <sheetName val="Scope of Work"/>
      <sheetName val="Design Status"/>
      <sheetName val="DWG Status"/>
      <sheetName val="MAT'L Status"/>
      <sheetName val="장비동원"/>
      <sheetName val="근로자동원"/>
      <sheetName val="Install Status"/>
      <sheetName val="Staff Mob. Plan"/>
      <sheetName val="M.P Mob. Plan"/>
      <sheetName val="Eq. Mobiliz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LDAILY"/>
      <sheetName val="MPCSSD"/>
      <sheetName val="DTHG"/>
      <sheetName val="Chart1"/>
      <sheetName val="DLC"/>
    </sheetNames>
    <sheetDataSet>
      <sheetData sheetId="0" refreshError="1"/>
      <sheetData sheetId="1" refreshError="1"/>
      <sheetData sheetId="2" refreshError="1"/>
      <sheetData sheetId="3" refreshError="1"/>
      <sheetData sheetId="4"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utive Summary -Thermal"/>
      <sheetName val="MPEB Performance"/>
      <sheetName val="Stationwise Thermal &amp; Hydel Gen"/>
      <sheetName val="Fuel Oil &amp; Aux. Cons."/>
      <sheetName val="TWELVE"/>
      <sheetName val="UGEN"/>
      <sheetName val="Yearly Thermal"/>
      <sheetName val="Yearly Hydel"/>
      <sheetName val="GPUF9196"/>
      <sheetName val="UNITWISE GEN &amp; FACTORS (S)"/>
      <sheetName val="GENPLF"/>
      <sheetName val="TPI"/>
      <sheetName val="TPI98-99"/>
      <sheetName val="TPI99-00"/>
      <sheetName val="TPI00-01"/>
      <sheetName val="TARGET9197"/>
      <sheetName val="TARGET 97-98"/>
      <sheetName val="TARGET 98-99"/>
      <sheetName val="TARGET 99-00"/>
      <sheetName val="TARGET 00-01"/>
      <sheetName val="MPSEB90-01MONTHLY GENPLF"/>
    </sheetNames>
    <sheetDataSet>
      <sheetData sheetId="0" refreshError="1">
        <row r="4">
          <cell r="A4">
            <v>0</v>
          </cell>
          <cell r="B4" t="str">
            <v>P A R T I C U L A R S</v>
          </cell>
          <cell r="D4" t="str">
            <v>91-92</v>
          </cell>
          <cell r="E4" t="str">
            <v>92-93</v>
          </cell>
          <cell r="F4" t="str">
            <v>93-94</v>
          </cell>
          <cell r="G4" t="str">
            <v>94-95</v>
          </cell>
          <cell r="H4" t="str">
            <v xml:space="preserve">95-96 </v>
          </cell>
        </row>
        <row r="5">
          <cell r="A5">
            <v>1</v>
          </cell>
          <cell r="B5" t="str">
            <v>Thermal  Generation (Including 100 % Satpura )</v>
          </cell>
          <cell r="C5" t="str">
            <v>MU</v>
          </cell>
          <cell r="D5">
            <v>11579.92</v>
          </cell>
          <cell r="E5">
            <v>12363.2</v>
          </cell>
          <cell r="F5">
            <v>13331.49</v>
          </cell>
          <cell r="G5">
            <v>14781.19868</v>
          </cell>
          <cell r="H5">
            <v>16071.35</v>
          </cell>
        </row>
        <row r="6">
          <cell r="A6">
            <v>2</v>
          </cell>
          <cell r="B6" t="str">
            <v xml:space="preserve">Plan Target    </v>
          </cell>
          <cell r="C6" t="str">
            <v>MU</v>
          </cell>
          <cell r="D6">
            <v>13440</v>
          </cell>
          <cell r="E6">
            <v>13240</v>
          </cell>
          <cell r="F6">
            <v>14935</v>
          </cell>
          <cell r="G6">
            <v>14850</v>
          </cell>
          <cell r="H6">
            <v>16620</v>
          </cell>
        </row>
        <row r="7">
          <cell r="A7">
            <v>3</v>
          </cell>
          <cell r="B7" t="str">
            <v>ACHIEVEMENT Percentage of ( 2 )</v>
          </cell>
          <cell r="C7" t="str">
            <v>%</v>
          </cell>
          <cell r="D7">
            <v>86.160119047619048</v>
          </cell>
          <cell r="E7">
            <v>93.377643504531719</v>
          </cell>
          <cell r="F7">
            <v>89.26340810177436</v>
          </cell>
          <cell r="G7">
            <v>99.53669144781145</v>
          </cell>
          <cell r="H7">
            <v>96.698856799037301</v>
          </cell>
        </row>
        <row r="8">
          <cell r="A8">
            <v>4</v>
          </cell>
          <cell r="B8" t="str">
            <v>Plant    Utilisation    Factor            **</v>
          </cell>
          <cell r="C8" t="str">
            <v>%</v>
          </cell>
          <cell r="D8">
            <v>49.14</v>
          </cell>
          <cell r="E8">
            <v>52.6</v>
          </cell>
          <cell r="F8">
            <v>56.03</v>
          </cell>
          <cell r="G8">
            <v>58.1673864745838</v>
          </cell>
          <cell r="H8">
            <v>59.2</v>
          </cell>
        </row>
        <row r="9">
          <cell r="A9">
            <v>5</v>
          </cell>
          <cell r="B9" t="str">
            <v>Plant    Availibility   Factor              **</v>
          </cell>
          <cell r="C9" t="str">
            <v>%</v>
          </cell>
          <cell r="D9">
            <v>66.92</v>
          </cell>
          <cell r="E9">
            <v>71.400000000000006</v>
          </cell>
          <cell r="F9">
            <v>72.040000000000006</v>
          </cell>
          <cell r="G9">
            <v>75.44</v>
          </cell>
          <cell r="H9">
            <v>75.3</v>
          </cell>
        </row>
        <row r="10">
          <cell r="A10">
            <v>6</v>
          </cell>
          <cell r="B10" t="str">
            <v>Partial  Unavailability Factor         **</v>
          </cell>
          <cell r="C10" t="str">
            <v>%</v>
          </cell>
          <cell r="D10">
            <v>17.78</v>
          </cell>
          <cell r="E10">
            <v>18.8</v>
          </cell>
          <cell r="F10">
            <v>16</v>
          </cell>
          <cell r="G10">
            <v>17.272613525416201</v>
          </cell>
          <cell r="H10">
            <v>16.16</v>
          </cell>
        </row>
        <row r="11">
          <cell r="A11" t="str">
            <v>a</v>
          </cell>
          <cell r="B11" t="str">
            <v>Main Boiler</v>
          </cell>
          <cell r="C11" t="str">
            <v>%</v>
          </cell>
          <cell r="D11">
            <v>0</v>
          </cell>
          <cell r="E11">
            <v>0.38</v>
          </cell>
          <cell r="F11">
            <v>0.24</v>
          </cell>
          <cell r="G11">
            <v>0.25</v>
          </cell>
          <cell r="H11">
            <v>2.4</v>
          </cell>
        </row>
        <row r="12">
          <cell r="A12" t="str">
            <v>b</v>
          </cell>
          <cell r="B12" t="str">
            <v>Boiler Auxiliaries(Mainly Mills)</v>
          </cell>
          <cell r="C12" t="str">
            <v>%</v>
          </cell>
          <cell r="D12">
            <v>2.1352047355439101</v>
          </cell>
          <cell r="E12">
            <v>0.82</v>
          </cell>
          <cell r="F12">
            <v>1.03</v>
          </cell>
          <cell r="G12">
            <v>0.57999999999999996</v>
          </cell>
          <cell r="H12">
            <v>5.0999999999999996</v>
          </cell>
        </row>
        <row r="13">
          <cell r="A13" t="str">
            <v>c</v>
          </cell>
          <cell r="B13" t="str">
            <v>Turbine</v>
          </cell>
          <cell r="C13" t="str">
            <v>%</v>
          </cell>
          <cell r="D13">
            <v>0.30946718340726254</v>
          </cell>
          <cell r="E13">
            <v>1.1200000000000001</v>
          </cell>
          <cell r="F13">
            <v>1.37</v>
          </cell>
          <cell r="G13">
            <v>0.28000000000000003</v>
          </cell>
          <cell r="H13">
            <v>0.8</v>
          </cell>
        </row>
        <row r="14">
          <cell r="A14" t="str">
            <v>d</v>
          </cell>
          <cell r="B14" t="str">
            <v>Turbine Auxiliaries</v>
          </cell>
          <cell r="C14" t="str">
            <v>%</v>
          </cell>
          <cell r="D14">
            <v>1.1834191455446403</v>
          </cell>
          <cell r="E14">
            <v>0.81</v>
          </cell>
          <cell r="F14">
            <v>0.54</v>
          </cell>
          <cell r="G14">
            <v>0.21</v>
          </cell>
          <cell r="H14">
            <v>0.6</v>
          </cell>
        </row>
        <row r="15">
          <cell r="A15" t="str">
            <v>e</v>
          </cell>
          <cell r="B15" t="str">
            <v>Generator</v>
          </cell>
          <cell r="C15" t="str">
            <v>%</v>
          </cell>
          <cell r="D15">
            <v>0.23316136939653051</v>
          </cell>
          <cell r="E15">
            <v>0.36</v>
          </cell>
          <cell r="F15">
            <v>0.69</v>
          </cell>
          <cell r="G15">
            <v>0.93</v>
          </cell>
          <cell r="H15">
            <v>0.3</v>
          </cell>
        </row>
        <row r="16">
          <cell r="A16" t="str">
            <v>f</v>
          </cell>
          <cell r="B16" t="str">
            <v>Electrical</v>
          </cell>
          <cell r="C16" t="str">
            <v>%</v>
          </cell>
          <cell r="D16">
            <v>0.46916617012716505</v>
          </cell>
          <cell r="E16">
            <v>0.28000000000000003</v>
          </cell>
          <cell r="F16">
            <v>0.28999999999999998</v>
          </cell>
          <cell r="G16">
            <v>1.78</v>
          </cell>
          <cell r="H16">
            <v>0.8</v>
          </cell>
        </row>
        <row r="17">
          <cell r="A17" t="str">
            <v>g</v>
          </cell>
          <cell r="B17" t="str">
            <v>Coal related (Quality ,Quantity ,Handling ,wet coal)</v>
          </cell>
          <cell r="C17" t="str">
            <v>%</v>
          </cell>
          <cell r="D17">
            <v>3.0365300291812445</v>
          </cell>
          <cell r="E17">
            <v>0.33</v>
          </cell>
          <cell r="F17">
            <v>0.12</v>
          </cell>
          <cell r="G17">
            <v>0.47</v>
          </cell>
          <cell r="H17">
            <v>5.8</v>
          </cell>
        </row>
        <row r="18">
          <cell r="A18" t="str">
            <v>h</v>
          </cell>
          <cell r="B18" t="str">
            <v>Others</v>
          </cell>
          <cell r="C18" t="str">
            <v>%</v>
          </cell>
          <cell r="D18">
            <v>2.2070544258220908</v>
          </cell>
          <cell r="E18">
            <v>3.85</v>
          </cell>
          <cell r="F18">
            <v>1.23</v>
          </cell>
          <cell r="G18">
            <v>1</v>
          </cell>
          <cell r="H18">
            <v>0.5</v>
          </cell>
        </row>
        <row r="19">
          <cell r="A19">
            <v>7</v>
          </cell>
          <cell r="B19" t="str">
            <v xml:space="preserve">Planned  Outage         Rate          </v>
          </cell>
          <cell r="C19" t="str">
            <v>MU</v>
          </cell>
          <cell r="D19">
            <v>3672.14</v>
          </cell>
          <cell r="E19">
            <v>3192.88</v>
          </cell>
          <cell r="F19">
            <v>3765.67</v>
          </cell>
          <cell r="G19">
            <v>2144.02</v>
          </cell>
          <cell r="H19">
            <v>3421.66</v>
          </cell>
        </row>
        <row r="20">
          <cell r="A20" t="str">
            <v>a</v>
          </cell>
          <cell r="C20" t="str">
            <v>No</v>
          </cell>
          <cell r="D20">
            <v>18</v>
          </cell>
          <cell r="E20">
            <v>23</v>
          </cell>
          <cell r="F20">
            <v>20</v>
          </cell>
          <cell r="G20">
            <v>24</v>
          </cell>
          <cell r="H20">
            <v>23</v>
          </cell>
        </row>
        <row r="21">
          <cell r="A21" t="str">
            <v>b</v>
          </cell>
          <cell r="B21" t="str">
            <v xml:space="preserve">                                                       **</v>
          </cell>
          <cell r="C21" t="str">
            <v>%</v>
          </cell>
          <cell r="D21">
            <v>16</v>
          </cell>
          <cell r="E21">
            <v>13.59</v>
          </cell>
          <cell r="F21">
            <v>16.079999999999998</v>
          </cell>
          <cell r="G21">
            <v>12.209376208374712</v>
          </cell>
          <cell r="H21">
            <v>12.6</v>
          </cell>
        </row>
        <row r="22">
          <cell r="A22">
            <v>8</v>
          </cell>
          <cell r="B22" t="str">
            <v xml:space="preserve">Forced   Outage   </v>
          </cell>
          <cell r="C22" t="str">
            <v>MU</v>
          </cell>
          <cell r="D22">
            <v>4054.2</v>
          </cell>
          <cell r="E22">
            <v>3528.19</v>
          </cell>
          <cell r="F22">
            <v>2780.85</v>
          </cell>
          <cell r="G22">
            <v>3161.67</v>
          </cell>
          <cell r="H22">
            <v>3281.99</v>
          </cell>
        </row>
        <row r="23">
          <cell r="A23" t="str">
            <v>a</v>
          </cell>
          <cell r="C23" t="str">
            <v>No</v>
          </cell>
          <cell r="D23">
            <v>838</v>
          </cell>
          <cell r="E23">
            <v>793</v>
          </cell>
          <cell r="F23">
            <v>756</v>
          </cell>
          <cell r="G23">
            <v>935</v>
          </cell>
          <cell r="H23">
            <v>1031</v>
          </cell>
        </row>
        <row r="24">
          <cell r="A24" t="str">
            <v>b</v>
          </cell>
          <cell r="B24" t="str">
            <v xml:space="preserve">                                                      **</v>
          </cell>
          <cell r="C24" t="str">
            <v>%</v>
          </cell>
          <cell r="D24">
            <v>17.079999999999998</v>
          </cell>
          <cell r="E24">
            <v>15.01</v>
          </cell>
          <cell r="F24">
            <v>11.88</v>
          </cell>
          <cell r="G24">
            <v>12.35</v>
          </cell>
          <cell r="H24">
            <v>12.08</v>
          </cell>
        </row>
        <row r="25">
          <cell r="A25" t="str">
            <v>c</v>
          </cell>
          <cell r="B25" t="str">
            <v>Boiler Tube Leakages</v>
          </cell>
          <cell r="C25" t="str">
            <v>MU</v>
          </cell>
          <cell r="D25">
            <v>1507</v>
          </cell>
          <cell r="E25">
            <v>1373.19</v>
          </cell>
          <cell r="F25">
            <v>1286</v>
          </cell>
          <cell r="G25">
            <v>1722</v>
          </cell>
          <cell r="H25">
            <v>2009.66</v>
          </cell>
        </row>
        <row r="26">
          <cell r="A26" t="str">
            <v>d</v>
          </cell>
          <cell r="C26" t="str">
            <v>No</v>
          </cell>
          <cell r="D26">
            <v>167</v>
          </cell>
          <cell r="E26">
            <v>188</v>
          </cell>
          <cell r="F26">
            <v>192</v>
          </cell>
          <cell r="G26">
            <v>240</v>
          </cell>
          <cell r="H26">
            <v>273</v>
          </cell>
        </row>
        <row r="27">
          <cell r="A27" t="str">
            <v>e</v>
          </cell>
          <cell r="C27" t="str">
            <v>%</v>
          </cell>
          <cell r="D27">
            <v>6.3955985380519014</v>
          </cell>
          <cell r="E27">
            <v>5.829559290259148</v>
          </cell>
          <cell r="F27">
            <v>5.4781122578512509</v>
          </cell>
          <cell r="G27">
            <v>6.4055165111673595</v>
          </cell>
          <cell r="H27">
            <v>7.398106058932755</v>
          </cell>
        </row>
        <row r="28">
          <cell r="A28">
            <v>9</v>
          </cell>
          <cell r="B28" t="str">
            <v>Total          Coal           Consumption</v>
          </cell>
          <cell r="C28" t="str">
            <v>1000MT</v>
          </cell>
          <cell r="D28">
            <v>9628</v>
          </cell>
          <cell r="E28">
            <v>10365</v>
          </cell>
          <cell r="F28">
            <v>10889.111999999999</v>
          </cell>
          <cell r="G28">
            <v>12127.994971999999</v>
          </cell>
          <cell r="H28">
            <v>13030.226000000001</v>
          </cell>
        </row>
        <row r="29">
          <cell r="A29">
            <v>10</v>
          </cell>
          <cell r="B29" t="str">
            <v xml:space="preserve">COST OF  Coal consumed @ Rs 800 /MT </v>
          </cell>
          <cell r="C29" t="str">
            <v>Cr Rs.</v>
          </cell>
          <cell r="D29">
            <v>770.24</v>
          </cell>
          <cell r="E29">
            <v>829.2</v>
          </cell>
          <cell r="F29">
            <v>871.12896000000001</v>
          </cell>
          <cell r="G29">
            <v>970.23959775999992</v>
          </cell>
          <cell r="H29">
            <v>1042.4180799999999</v>
          </cell>
        </row>
        <row r="30">
          <cell r="A30">
            <v>11</v>
          </cell>
          <cell r="B30" t="str">
            <v>Specific    Coal           Consumption</v>
          </cell>
          <cell r="C30" t="str">
            <v>Kg/Kwh</v>
          </cell>
          <cell r="D30">
            <v>0.83</v>
          </cell>
          <cell r="E30">
            <v>0.8</v>
          </cell>
          <cell r="F30">
            <v>0.81679632209152919</v>
          </cell>
          <cell r="G30">
            <v>0.82050145151015585</v>
          </cell>
          <cell r="H30">
            <v>0.81</v>
          </cell>
        </row>
        <row r="31">
          <cell r="A31">
            <v>12</v>
          </cell>
          <cell r="B31" t="str">
            <v>Total          Fuel Oil     Consumption</v>
          </cell>
          <cell r="C31" t="str">
            <v>1000KL</v>
          </cell>
          <cell r="D31">
            <v>147</v>
          </cell>
          <cell r="E31">
            <v>178</v>
          </cell>
          <cell r="F31">
            <v>144.66900000000001</v>
          </cell>
          <cell r="G31">
            <v>185.24459685843499</v>
          </cell>
          <cell r="H31">
            <v>124.101</v>
          </cell>
        </row>
        <row r="32">
          <cell r="A32">
            <v>13</v>
          </cell>
          <cell r="B32" t="str">
            <v>COST OF  Fuel oil consumed  @ Rs 7500 per MT</v>
          </cell>
          <cell r="C32" t="str">
            <v>Cr Rs.</v>
          </cell>
          <cell r="D32">
            <v>110.25</v>
          </cell>
          <cell r="E32">
            <v>133.5</v>
          </cell>
          <cell r="F32">
            <v>108.50174999999999</v>
          </cell>
          <cell r="G32">
            <v>138.93344764382627</v>
          </cell>
          <cell r="H32">
            <v>93.075749999999999</v>
          </cell>
        </row>
        <row r="33">
          <cell r="A33">
            <v>14</v>
          </cell>
          <cell r="B33" t="str">
            <v xml:space="preserve">Specific    Fuel Oil      Consumption </v>
          </cell>
          <cell r="C33" t="str">
            <v>ml/Kwh</v>
          </cell>
          <cell r="D33">
            <v>12.72</v>
          </cell>
          <cell r="E33">
            <v>14.43</v>
          </cell>
          <cell r="F33">
            <v>10.851675244102497</v>
          </cell>
          <cell r="G33">
            <v>12.532447528026529</v>
          </cell>
          <cell r="H33">
            <v>7.72</v>
          </cell>
        </row>
        <row r="34">
          <cell r="A34">
            <v>15</v>
          </cell>
          <cell r="B34" t="str">
            <v>Cost of  Fuels  per  Kwh  Generated</v>
          </cell>
          <cell r="C34" t="str">
            <v>Paise</v>
          </cell>
          <cell r="D34">
            <v>76.035931163600438</v>
          </cell>
          <cell r="E34">
            <v>77.868189465510554</v>
          </cell>
          <cell r="F34">
            <v>73.482462200399212</v>
          </cell>
          <cell r="G34">
            <v>75.039451766832357</v>
          </cell>
          <cell r="H34">
            <v>70.653294838330311</v>
          </cell>
        </row>
        <row r="35">
          <cell r="A35">
            <v>16</v>
          </cell>
          <cell r="B35" t="str">
            <v>Thermal  Auxiliary Consumption   Total</v>
          </cell>
          <cell r="C35" t="str">
            <v>MU</v>
          </cell>
          <cell r="D35">
            <v>1235.3499999999999</v>
          </cell>
          <cell r="E35">
            <v>1288.0999999999999</v>
          </cell>
          <cell r="F35">
            <v>1394.5</v>
          </cell>
          <cell r="G35">
            <v>1558.7317929999999</v>
          </cell>
          <cell r="H35">
            <v>1648.2</v>
          </cell>
        </row>
        <row r="36">
          <cell r="A36">
            <v>17</v>
          </cell>
          <cell r="B36" t="str">
            <v>Thermal  Auxiliary Consumption   Percentage</v>
          </cell>
          <cell r="C36" t="str">
            <v>%</v>
          </cell>
          <cell r="D36">
            <v>10.67</v>
          </cell>
          <cell r="E36">
            <v>10.4</v>
          </cell>
          <cell r="F36">
            <v>10.449094587326698</v>
          </cell>
          <cell r="G36">
            <v>10.545367982294113</v>
          </cell>
          <cell r="H36">
            <v>10.255516804748822</v>
          </cell>
        </row>
        <row r="37">
          <cell r="A37">
            <v>18</v>
          </cell>
          <cell r="B37" t="str">
            <v>Cost of  Fuels  per  Kwh  sent out</v>
          </cell>
          <cell r="C37" t="str">
            <v>Paise</v>
          </cell>
          <cell r="D37">
            <v>85.116152725536196</v>
          </cell>
          <cell r="E37">
            <v>86.924723027331581</v>
          </cell>
          <cell r="F37">
            <v>82.066811650173122</v>
          </cell>
          <cell r="G37">
            <v>83.885484825402543</v>
          </cell>
          <cell r="H37">
            <v>78.727173328988457</v>
          </cell>
        </row>
        <row r="38">
          <cell r="A38" t="str">
            <v>Note :-</v>
          </cell>
        </row>
        <row r="39">
          <cell r="A39">
            <v>1</v>
          </cell>
          <cell r="B39" t="str">
            <v>In 1994-95 &amp;1999-2000specific oil consumption is more due to stablisation of both units of Sanjay Gandhi thermal Power Station.</v>
          </cell>
        </row>
        <row r="40">
          <cell r="A40">
            <v>2</v>
          </cell>
          <cell r="B40" t="str">
            <v xml:space="preserve"> Heavy and unprcedented rains all over resulting in wet coal problems in thermal stations.</v>
          </cell>
        </row>
        <row r="41">
          <cell r="A41">
            <v>3</v>
          </cell>
          <cell r="B41" t="str">
            <v>Considering SGTPS # 1 wef :  01.01.95  , # 2 wef : 01.04.95 ,.# 3 w.e.f : 01.09.99&amp; # 4 w.e.f : 01.04.2000.</v>
          </cell>
        </row>
        <row r="42">
          <cell r="A42">
            <v>4</v>
          </cell>
          <cell r="B42" t="str">
            <v>Considering  Cost of Coal &amp; Fuel oil same for all the  years for comparision purpose .                                         .</v>
          </cell>
        </row>
        <row r="43">
          <cell r="A43">
            <v>5</v>
          </cell>
          <cell r="B43" t="str">
            <v>Totals  may  not  tally  due  to  rounding  off.</v>
          </cell>
        </row>
        <row r="45">
          <cell r="A45" t="str">
            <v>EXECUTIVE SUMMARY</v>
          </cell>
        </row>
        <row r="46">
          <cell r="A46" t="str">
            <v>96-97 to 00-01</v>
          </cell>
        </row>
        <row r="47">
          <cell r="A47" t="str">
            <v>THERMAL GENETRATION</v>
          </cell>
        </row>
        <row r="48">
          <cell r="A48">
            <v>0</v>
          </cell>
          <cell r="B48" t="str">
            <v>P A R T I C U L A R S</v>
          </cell>
          <cell r="D48" t="str">
            <v>96-97</v>
          </cell>
          <cell r="E48" t="str">
            <v>97-98</v>
          </cell>
          <cell r="F48" t="str">
            <v>98-99</v>
          </cell>
          <cell r="G48" t="str">
            <v>99-00</v>
          </cell>
          <cell r="H48" t="str">
            <v>00-01</v>
          </cell>
        </row>
        <row r="49">
          <cell r="A49">
            <v>1</v>
          </cell>
          <cell r="B49" t="str">
            <v>Thermal  Generation (Including 100 % Satpura )</v>
          </cell>
          <cell r="C49" t="str">
            <v>MU</v>
          </cell>
          <cell r="D49">
            <v>16866.97</v>
          </cell>
          <cell r="E49">
            <v>17966.7</v>
          </cell>
          <cell r="F49">
            <v>18471.39</v>
          </cell>
          <cell r="G49">
            <v>20146.419999999998</v>
          </cell>
          <cell r="H49">
            <v>20415.89</v>
          </cell>
        </row>
        <row r="50">
          <cell r="A50">
            <v>2</v>
          </cell>
          <cell r="B50" t="str">
            <v xml:space="preserve">Plan Target    </v>
          </cell>
          <cell r="C50" t="str">
            <v>MU</v>
          </cell>
          <cell r="D50">
            <v>16950</v>
          </cell>
          <cell r="E50">
            <v>17200</v>
          </cell>
          <cell r="F50">
            <v>17500</v>
          </cell>
          <cell r="G50">
            <v>19010</v>
          </cell>
          <cell r="H50">
            <v>21860</v>
          </cell>
        </row>
        <row r="51">
          <cell r="A51">
            <v>3</v>
          </cell>
          <cell r="B51" t="str">
            <v>ACHIEVEMENT Percentage of ( 2 )</v>
          </cell>
          <cell r="C51" t="str">
            <v>%</v>
          </cell>
          <cell r="D51">
            <v>99.510147492625364</v>
          </cell>
          <cell r="E51">
            <v>104.45755813953488</v>
          </cell>
          <cell r="F51">
            <v>105.5508</v>
          </cell>
          <cell r="G51">
            <v>105.97801157285637</v>
          </cell>
          <cell r="H51">
            <v>93.393824336688013</v>
          </cell>
        </row>
        <row r="52">
          <cell r="A52">
            <v>4</v>
          </cell>
          <cell r="B52" t="str">
            <v>Plant    Utilisation    Factor            **</v>
          </cell>
          <cell r="C52" t="str">
            <v>%</v>
          </cell>
          <cell r="D52">
            <v>62.26</v>
          </cell>
          <cell r="E52">
            <v>66.319999999999993</v>
          </cell>
          <cell r="F52">
            <v>68.180000000000007</v>
          </cell>
          <cell r="G52">
            <v>69.42</v>
          </cell>
          <cell r="H52">
            <v>66.349999999999994</v>
          </cell>
        </row>
        <row r="53">
          <cell r="A53">
            <v>5</v>
          </cell>
          <cell r="B53" t="str">
            <v>Plant    Availibility   Factor              **</v>
          </cell>
          <cell r="C53" t="str">
            <v>%</v>
          </cell>
          <cell r="D53">
            <v>74.900000000000006</v>
          </cell>
          <cell r="E53">
            <v>76.290000000000006</v>
          </cell>
          <cell r="F53">
            <v>77.22</v>
          </cell>
          <cell r="G53">
            <v>79.09</v>
          </cell>
          <cell r="H53">
            <v>77.67</v>
          </cell>
        </row>
        <row r="54">
          <cell r="A54">
            <v>6</v>
          </cell>
          <cell r="B54" t="str">
            <v>Partial  Unavailability Factor         **</v>
          </cell>
          <cell r="C54" t="str">
            <v>%</v>
          </cell>
          <cell r="D54">
            <v>12.64</v>
          </cell>
          <cell r="E54">
            <v>9.9700000000000006</v>
          </cell>
          <cell r="F54">
            <v>9.0399999999999991</v>
          </cell>
          <cell r="G54">
            <v>9.67</v>
          </cell>
          <cell r="H54">
            <v>11.32</v>
          </cell>
        </row>
        <row r="55">
          <cell r="A55" t="str">
            <v>a</v>
          </cell>
          <cell r="B55" t="str">
            <v>Main Boiler</v>
          </cell>
          <cell r="C55" t="str">
            <v>%</v>
          </cell>
          <cell r="D55">
            <v>1.4</v>
          </cell>
          <cell r="E55">
            <v>1.17</v>
          </cell>
          <cell r="F55">
            <v>1.91</v>
          </cell>
          <cell r="G55">
            <v>2.62</v>
          </cell>
          <cell r="H55">
            <v>4061.5740000000001</v>
          </cell>
        </row>
        <row r="56">
          <cell r="A56" t="str">
            <v>b</v>
          </cell>
          <cell r="B56" t="str">
            <v>Boiler Auxiliaries(Mainly Mills)</v>
          </cell>
          <cell r="C56" t="str">
            <v>%</v>
          </cell>
          <cell r="D56">
            <v>4.9000000000000004</v>
          </cell>
          <cell r="E56">
            <v>3.07</v>
          </cell>
          <cell r="F56">
            <v>1.57</v>
          </cell>
          <cell r="G56">
            <v>1.89</v>
          </cell>
          <cell r="H56">
            <v>25</v>
          </cell>
        </row>
        <row r="57">
          <cell r="A57" t="str">
            <v>c</v>
          </cell>
          <cell r="B57" t="str">
            <v>Turbine</v>
          </cell>
          <cell r="C57" t="str">
            <v>%</v>
          </cell>
          <cell r="D57">
            <v>1.1000000000000001</v>
          </cell>
          <cell r="E57">
            <v>0.98</v>
          </cell>
          <cell r="F57">
            <v>1.42</v>
          </cell>
          <cell r="G57">
            <v>1.06</v>
          </cell>
          <cell r="H57">
            <v>13.2</v>
          </cell>
        </row>
        <row r="58">
          <cell r="A58" t="str">
            <v>d</v>
          </cell>
          <cell r="B58" t="str">
            <v>Turbine Auxiliaries</v>
          </cell>
          <cell r="C58" t="str">
            <v>%</v>
          </cell>
          <cell r="D58">
            <v>0.9</v>
          </cell>
          <cell r="E58">
            <v>0.49</v>
          </cell>
          <cell r="F58">
            <v>0.42</v>
          </cell>
          <cell r="G58">
            <v>0.63</v>
          </cell>
          <cell r="H58">
            <v>2808.83</v>
          </cell>
        </row>
        <row r="59">
          <cell r="A59" t="str">
            <v>e</v>
          </cell>
          <cell r="B59" t="str">
            <v>Generator</v>
          </cell>
          <cell r="C59" t="str">
            <v>%</v>
          </cell>
          <cell r="D59">
            <v>0.3</v>
          </cell>
          <cell r="E59">
            <v>0.27</v>
          </cell>
          <cell r="F59">
            <v>0.2</v>
          </cell>
          <cell r="G59">
            <v>0.48</v>
          </cell>
          <cell r="H59">
            <v>669</v>
          </cell>
        </row>
        <row r="60">
          <cell r="A60" t="str">
            <v>f</v>
          </cell>
          <cell r="B60" t="str">
            <v>Electrical</v>
          </cell>
          <cell r="C60" t="str">
            <v>%</v>
          </cell>
          <cell r="D60">
            <v>0.8</v>
          </cell>
          <cell r="E60">
            <v>1.96</v>
          </cell>
          <cell r="F60">
            <v>2.1</v>
          </cell>
          <cell r="G60">
            <v>0.81</v>
          </cell>
          <cell r="H60">
            <v>9.1300000000000008</v>
          </cell>
        </row>
        <row r="61">
          <cell r="A61" t="str">
            <v>g</v>
          </cell>
          <cell r="B61" t="str">
            <v>Coal related (Quality ,Quantity ,Handling ,wet coal)</v>
          </cell>
          <cell r="C61" t="str">
            <v>%</v>
          </cell>
          <cell r="D61">
            <v>3.3</v>
          </cell>
          <cell r="E61">
            <v>2.4900000000000002</v>
          </cell>
          <cell r="F61">
            <v>1.19</v>
          </cell>
          <cell r="G61">
            <v>1.6</v>
          </cell>
          <cell r="H61">
            <v>1426.91</v>
          </cell>
        </row>
        <row r="62">
          <cell r="A62" t="str">
            <v>h</v>
          </cell>
          <cell r="B62" t="str">
            <v>Others</v>
          </cell>
          <cell r="C62" t="str">
            <v>%</v>
          </cell>
          <cell r="D62">
            <v>0.1</v>
          </cell>
          <cell r="E62">
            <v>0</v>
          </cell>
          <cell r="F62">
            <v>0</v>
          </cell>
          <cell r="G62">
            <v>0.2</v>
          </cell>
          <cell r="H62">
            <v>157</v>
          </cell>
        </row>
        <row r="63">
          <cell r="A63">
            <v>7</v>
          </cell>
          <cell r="B63" t="str">
            <v xml:space="preserve">Planned  Outage         Rate          </v>
          </cell>
          <cell r="C63" t="str">
            <v>MU</v>
          </cell>
          <cell r="D63">
            <v>4231.29</v>
          </cell>
          <cell r="E63">
            <v>3432.3410099999996</v>
          </cell>
          <cell r="F63">
            <v>3544</v>
          </cell>
          <cell r="G63">
            <v>3784.7</v>
          </cell>
          <cell r="H63">
            <v>4061.5740000000001</v>
          </cell>
        </row>
        <row r="64">
          <cell r="A64" t="str">
            <v>a</v>
          </cell>
          <cell r="C64" t="str">
            <v>No</v>
          </cell>
          <cell r="D64">
            <v>24</v>
          </cell>
          <cell r="E64">
            <v>24</v>
          </cell>
          <cell r="F64">
            <v>20</v>
          </cell>
          <cell r="G64">
            <v>24</v>
          </cell>
          <cell r="H64">
            <v>24</v>
          </cell>
        </row>
        <row r="65">
          <cell r="A65" t="str">
            <v>b</v>
          </cell>
          <cell r="B65" t="str">
            <v xml:space="preserve">                                                       **</v>
          </cell>
          <cell r="C65" t="str">
            <v>%</v>
          </cell>
          <cell r="D65">
            <v>15.62</v>
          </cell>
          <cell r="E65">
            <v>12.67</v>
          </cell>
          <cell r="F65">
            <v>13.08</v>
          </cell>
          <cell r="G65">
            <v>13.05</v>
          </cell>
          <cell r="H65">
            <v>13.2</v>
          </cell>
        </row>
        <row r="66">
          <cell r="A66">
            <v>8</v>
          </cell>
          <cell r="B66" t="str">
            <v xml:space="preserve">Forced   Outage   </v>
          </cell>
          <cell r="C66" t="str">
            <v>MU</v>
          </cell>
          <cell r="D66">
            <v>2568.61</v>
          </cell>
          <cell r="E66">
            <v>2988.0600899999995</v>
          </cell>
          <cell r="F66">
            <v>2626.63</v>
          </cell>
          <cell r="G66">
            <v>2200.5</v>
          </cell>
          <cell r="H66">
            <v>4061.5740000000001</v>
          </cell>
        </row>
        <row r="67">
          <cell r="A67" t="str">
            <v>a</v>
          </cell>
          <cell r="C67" t="str">
            <v>No</v>
          </cell>
          <cell r="D67">
            <v>679</v>
          </cell>
          <cell r="E67">
            <v>662</v>
          </cell>
          <cell r="F67">
            <v>618</v>
          </cell>
          <cell r="G67">
            <v>570</v>
          </cell>
          <cell r="H67">
            <v>669</v>
          </cell>
        </row>
        <row r="68">
          <cell r="A68" t="str">
            <v>b</v>
          </cell>
          <cell r="B68" t="str">
            <v xml:space="preserve">                                                      **</v>
          </cell>
          <cell r="C68" t="str">
            <v>%</v>
          </cell>
          <cell r="D68">
            <v>9.48</v>
          </cell>
          <cell r="E68">
            <v>11.03</v>
          </cell>
          <cell r="F68">
            <v>9.69</v>
          </cell>
          <cell r="G68">
            <v>7.84</v>
          </cell>
          <cell r="H68">
            <v>9.1300000000000008</v>
          </cell>
        </row>
        <row r="69">
          <cell r="A69" t="str">
            <v>c</v>
          </cell>
          <cell r="B69" t="str">
            <v>Boiler Tube Leakages</v>
          </cell>
          <cell r="C69" t="str">
            <v>MU</v>
          </cell>
          <cell r="D69">
            <v>1719</v>
          </cell>
          <cell r="E69">
            <v>1560.40128</v>
          </cell>
          <cell r="F69">
            <v>1408.83</v>
          </cell>
          <cell r="G69">
            <v>1466.97</v>
          </cell>
          <cell r="H69">
            <v>1426.91</v>
          </cell>
        </row>
        <row r="70">
          <cell r="A70" t="str">
            <v>d</v>
          </cell>
          <cell r="C70" t="str">
            <v>No</v>
          </cell>
          <cell r="D70">
            <v>185</v>
          </cell>
          <cell r="E70">
            <v>197</v>
          </cell>
          <cell r="F70">
            <v>191</v>
          </cell>
          <cell r="G70">
            <v>184</v>
          </cell>
          <cell r="H70">
            <v>157</v>
          </cell>
        </row>
        <row r="71">
          <cell r="A71" t="str">
            <v>e</v>
          </cell>
          <cell r="C71" t="str">
            <v>%</v>
          </cell>
          <cell r="D71">
            <v>6.34</v>
          </cell>
          <cell r="E71">
            <v>5.76</v>
          </cell>
          <cell r="F71">
            <v>5.2</v>
          </cell>
          <cell r="G71">
            <v>5.4</v>
          </cell>
          <cell r="H71">
            <v>4.6399999999999997</v>
          </cell>
        </row>
        <row r="72">
          <cell r="A72">
            <v>9</v>
          </cell>
          <cell r="B72" t="str">
            <v>Total          Coal           Consumption</v>
          </cell>
          <cell r="C72" t="str">
            <v>1000MT</v>
          </cell>
          <cell r="D72">
            <v>13482.3</v>
          </cell>
          <cell r="E72">
            <v>14265.226000000001</v>
          </cell>
          <cell r="F72">
            <v>14547.769</v>
          </cell>
          <cell r="G72">
            <v>15648.859</v>
          </cell>
          <cell r="H72">
            <v>16020.288</v>
          </cell>
        </row>
        <row r="73">
          <cell r="A73">
            <v>10</v>
          </cell>
          <cell r="B73" t="str">
            <v xml:space="preserve">COST OF  Coal consumed @ Rs 800 /MT </v>
          </cell>
          <cell r="C73" t="str">
            <v>Cr Rs.</v>
          </cell>
          <cell r="D73">
            <v>1078.5840000000001</v>
          </cell>
          <cell r="E73">
            <v>1141.2180800000001</v>
          </cell>
          <cell r="F73">
            <v>1163.82152</v>
          </cell>
          <cell r="G73">
            <v>1251.9087200000001</v>
          </cell>
          <cell r="H73">
            <v>1281.6230399999999</v>
          </cell>
        </row>
        <row r="74">
          <cell r="A74">
            <v>11</v>
          </cell>
          <cell r="B74" t="str">
            <v>Specific    Coal           Consumption</v>
          </cell>
          <cell r="C74" t="str">
            <v>Kg/Kwh</v>
          </cell>
          <cell r="D74">
            <v>0.8</v>
          </cell>
          <cell r="E74">
            <v>0.79</v>
          </cell>
          <cell r="F74">
            <v>0.79</v>
          </cell>
          <cell r="G74">
            <v>0.78</v>
          </cell>
          <cell r="H74">
            <v>0.78</v>
          </cell>
        </row>
        <row r="75">
          <cell r="A75">
            <v>12</v>
          </cell>
          <cell r="B75" t="str">
            <v>Total          Fuel Oil     Consumption</v>
          </cell>
          <cell r="C75" t="str">
            <v>1000KL</v>
          </cell>
          <cell r="D75">
            <v>86.83</v>
          </cell>
          <cell r="E75">
            <v>66.355000000000004</v>
          </cell>
          <cell r="F75">
            <v>51.347000000000001</v>
          </cell>
          <cell r="G75">
            <v>58.731999999999999</v>
          </cell>
          <cell r="H75">
            <v>65.579260000000005</v>
          </cell>
        </row>
        <row r="76">
          <cell r="A76">
            <v>13</v>
          </cell>
          <cell r="B76" t="str">
            <v>COST OF  Fuel oil consumed  @ Rs 7500 per MT</v>
          </cell>
          <cell r="C76" t="str">
            <v>Cr Rs.</v>
          </cell>
          <cell r="D76">
            <v>65.122500000000002</v>
          </cell>
          <cell r="E76">
            <v>49.766250000000007</v>
          </cell>
          <cell r="F76">
            <v>38.510250000000006</v>
          </cell>
          <cell r="G76">
            <v>44.048999999999999</v>
          </cell>
          <cell r="H76">
            <v>49.184445000000004</v>
          </cell>
        </row>
        <row r="77">
          <cell r="A77">
            <v>14</v>
          </cell>
          <cell r="B77" t="str">
            <v xml:space="preserve">Specific    Fuel Oil      Consumption </v>
          </cell>
          <cell r="C77" t="str">
            <v>ml/Kwh</v>
          </cell>
          <cell r="D77">
            <v>5.15</v>
          </cell>
          <cell r="E77">
            <v>3.69</v>
          </cell>
          <cell r="F77">
            <v>2.78</v>
          </cell>
          <cell r="G77">
            <v>2.29</v>
          </cell>
          <cell r="H77">
            <v>3.22</v>
          </cell>
        </row>
        <row r="78">
          <cell r="A78">
            <v>15</v>
          </cell>
          <cell r="B78" t="str">
            <v>Cost of  Fuels  per  Kwh  Generated</v>
          </cell>
          <cell r="C78" t="str">
            <v>Paise</v>
          </cell>
          <cell r="D78">
            <v>67.807466308412231</v>
          </cell>
          <cell r="E78">
            <v>66.288429706067333</v>
          </cell>
          <cell r="F78">
            <v>65.091569719441793</v>
          </cell>
          <cell r="G78">
            <v>64.326948410685389</v>
          </cell>
          <cell r="H78">
            <v>65.184887114889449</v>
          </cell>
        </row>
        <row r="79">
          <cell r="A79">
            <v>16</v>
          </cell>
          <cell r="B79" t="str">
            <v>Thermal  Auxiliary Consumption   Total</v>
          </cell>
          <cell r="C79" t="str">
            <v>MU</v>
          </cell>
          <cell r="D79">
            <v>1650.79</v>
          </cell>
          <cell r="E79">
            <v>1766.22</v>
          </cell>
          <cell r="F79">
            <v>1783.99</v>
          </cell>
          <cell r="G79">
            <v>1952.78</v>
          </cell>
          <cell r="H79">
            <v>1982.05</v>
          </cell>
        </row>
        <row r="80">
          <cell r="A80">
            <v>17</v>
          </cell>
          <cell r="B80" t="str">
            <v>Thermal  Auxiliary Consumption   Percentage</v>
          </cell>
          <cell r="C80" t="str">
            <v>%</v>
          </cell>
          <cell r="D80">
            <v>9.7871164767590138</v>
          </cell>
          <cell r="E80">
            <v>9.8305197949539984</v>
          </cell>
          <cell r="F80">
            <v>9.66</v>
          </cell>
          <cell r="G80">
            <v>9.69</v>
          </cell>
          <cell r="H80">
            <v>9.7100000000000009</v>
          </cell>
        </row>
        <row r="81">
          <cell r="A81">
            <v>18</v>
          </cell>
          <cell r="B81" t="str">
            <v>Cost of  Fuels  per  Kwh  sent out</v>
          </cell>
          <cell r="C81" t="str">
            <v>Paise</v>
          </cell>
          <cell r="D81">
            <v>75.163838755850691</v>
          </cell>
          <cell r="E81">
            <v>73.515373001293781</v>
          </cell>
          <cell r="F81">
            <v>72.050275657082594</v>
          </cell>
          <cell r="G81">
            <v>71.231359969747686</v>
          </cell>
          <cell r="H81">
            <v>72.193720082196648</v>
          </cell>
        </row>
        <row r="82">
          <cell r="A82" t="str">
            <v>Note :-</v>
          </cell>
        </row>
        <row r="83">
          <cell r="A83">
            <v>1</v>
          </cell>
          <cell r="B83" t="str">
            <v>In 1994-95 &amp;1999-2000specific oil consumption is more due to stablisation of both units of Sanjay Gandhi thermal Power Station.</v>
          </cell>
        </row>
        <row r="84">
          <cell r="A84">
            <v>2</v>
          </cell>
          <cell r="B84" t="str">
            <v xml:space="preserve"> Heavy and unprcedented rains all over resulting in wet coal problems in thermal stations.</v>
          </cell>
          <cell r="F84">
            <v>0</v>
          </cell>
        </row>
        <row r="85">
          <cell r="A85">
            <v>3</v>
          </cell>
          <cell r="B85" t="str">
            <v>Considering SGTPS # 1 wef :  01.01.95  , # 2 wef : 01.04.95 ,.# 3 w.e.f : 01.09.99&amp; # 4 w.e.f : 01.04.2000.</v>
          </cell>
        </row>
        <row r="86">
          <cell r="A86">
            <v>4</v>
          </cell>
          <cell r="B86" t="str">
            <v>Considering  Cost of Coal &amp; Fuel oil same for all the  years for comparision purpose .                                         .</v>
          </cell>
          <cell r="E86">
            <v>0</v>
          </cell>
        </row>
        <row r="87">
          <cell r="A87">
            <v>5</v>
          </cell>
          <cell r="B87" t="str">
            <v>Totals  may  not  tally  due  to  rounding  off.</v>
          </cell>
        </row>
        <row r="89">
          <cell r="A89" t="str">
            <v>EXECUTIVE SUMMARY</v>
          </cell>
        </row>
        <row r="90">
          <cell r="A90" t="str">
            <v>91-92 to 95-96</v>
          </cell>
        </row>
        <row r="91">
          <cell r="A91" t="str">
            <v xml:space="preserve"> HYDEL GENETRATION</v>
          </cell>
        </row>
        <row r="92">
          <cell r="A92">
            <v>0</v>
          </cell>
          <cell r="B92" t="str">
            <v>P A R T I C U L A R S</v>
          </cell>
          <cell r="D92" t="str">
            <v>91-92</v>
          </cell>
          <cell r="E92" t="str">
            <v>92-93</v>
          </cell>
          <cell r="F92" t="str">
            <v>93-94</v>
          </cell>
          <cell r="G92" t="str">
            <v>94-95</v>
          </cell>
          <cell r="H92" t="str">
            <v xml:space="preserve">95-96 </v>
          </cell>
        </row>
        <row r="93">
          <cell r="A93">
            <v>1</v>
          </cell>
          <cell r="B93" t="str">
            <v>Hydel Generation(G'sagar+Pench+Bargi+Tons+ B'pur+HB))</v>
          </cell>
          <cell r="C93" t="str">
            <v>MU</v>
          </cell>
          <cell r="D93">
            <v>1324.15</v>
          </cell>
          <cell r="E93">
            <v>1295.48</v>
          </cell>
          <cell r="F93">
            <v>1589.68</v>
          </cell>
          <cell r="G93">
            <v>2280.4742339999998</v>
          </cell>
          <cell r="H93">
            <v>2141.34</v>
          </cell>
        </row>
        <row r="94">
          <cell r="A94">
            <v>2</v>
          </cell>
          <cell r="B94" t="str">
            <v xml:space="preserve">Target (PLAN )   </v>
          </cell>
          <cell r="C94" t="str">
            <v>MU</v>
          </cell>
          <cell r="D94">
            <v>1771</v>
          </cell>
          <cell r="E94">
            <v>1870</v>
          </cell>
          <cell r="F94">
            <v>1870</v>
          </cell>
          <cell r="G94">
            <v>1965</v>
          </cell>
          <cell r="H94">
            <v>2035</v>
          </cell>
        </row>
        <row r="95">
          <cell r="A95">
            <v>3</v>
          </cell>
          <cell r="B95" t="str">
            <v>ACHIEVEMENT Percentage of ( 2 )</v>
          </cell>
          <cell r="C95" t="str">
            <v>%</v>
          </cell>
          <cell r="D95">
            <v>74.768492377188025</v>
          </cell>
          <cell r="E95">
            <v>69.277005347593587</v>
          </cell>
          <cell r="F95">
            <v>85.009625668449203</v>
          </cell>
          <cell r="G95">
            <v>116.05466839694657</v>
          </cell>
          <cell r="H95">
            <v>105.23</v>
          </cell>
        </row>
        <row r="96">
          <cell r="A96">
            <v>4</v>
          </cell>
          <cell r="B96" t="str">
            <v>Hydel Generation M.P.Share</v>
          </cell>
          <cell r="C96" t="str">
            <v>MU</v>
          </cell>
          <cell r="D96">
            <v>1498.64</v>
          </cell>
          <cell r="E96">
            <v>1511.19</v>
          </cell>
          <cell r="F96">
            <v>1658.26</v>
          </cell>
          <cell r="G96">
            <v>2415.3094620000002</v>
          </cell>
          <cell r="H96">
            <v>2253.15</v>
          </cell>
        </row>
        <row r="97">
          <cell r="A97">
            <v>5</v>
          </cell>
          <cell r="B97" t="str">
            <v xml:space="preserve">Target (PLAN )   </v>
          </cell>
          <cell r="C97" t="str">
            <v>MU</v>
          </cell>
          <cell r="D97">
            <v>1846</v>
          </cell>
          <cell r="E97">
            <v>1938</v>
          </cell>
          <cell r="F97">
            <v>1990</v>
          </cell>
          <cell r="G97">
            <v>1999.9666666666667</v>
          </cell>
          <cell r="H97">
            <v>2059.33</v>
          </cell>
        </row>
        <row r="98">
          <cell r="A98">
            <v>6</v>
          </cell>
          <cell r="B98" t="str">
            <v>ACHIEVEMENT Percentage of ( 5 )</v>
          </cell>
          <cell r="C98" t="str">
            <v>%</v>
          </cell>
          <cell r="D98">
            <v>81.183098591549296</v>
          </cell>
          <cell r="E98">
            <v>77.976780185758514</v>
          </cell>
          <cell r="F98">
            <v>83.32964824120603</v>
          </cell>
          <cell r="G98">
            <v>120.76748589143152</v>
          </cell>
          <cell r="H98">
            <v>109.41</v>
          </cell>
        </row>
        <row r="99">
          <cell r="A99">
            <v>7</v>
          </cell>
          <cell r="B99" t="str">
            <v xml:space="preserve">Reservoir Level at the end </v>
          </cell>
        </row>
        <row r="100">
          <cell r="A100" t="str">
            <v>a</v>
          </cell>
          <cell r="B100" t="str">
            <v>GANDHISAGAR     MDDL   1250.00 Ft</v>
          </cell>
          <cell r="C100" t="str">
            <v>FT</v>
          </cell>
          <cell r="D100">
            <v>1284.51</v>
          </cell>
          <cell r="E100">
            <v>1253.47</v>
          </cell>
          <cell r="F100">
            <v>1250.8900000000001</v>
          </cell>
          <cell r="G100">
            <v>1295.67</v>
          </cell>
          <cell r="H100">
            <v>1288.95</v>
          </cell>
        </row>
        <row r="101">
          <cell r="A101">
            <v>0</v>
          </cell>
          <cell r="B101" t="str">
            <v>Energy   Contents   in   MKwh</v>
          </cell>
          <cell r="C101" t="str">
            <v>MU</v>
          </cell>
          <cell r="D101">
            <v>245</v>
          </cell>
          <cell r="E101">
            <v>14.5</v>
          </cell>
          <cell r="F101">
            <v>3.56</v>
          </cell>
          <cell r="G101">
            <v>408.4</v>
          </cell>
          <cell r="H101">
            <v>310</v>
          </cell>
        </row>
        <row r="102">
          <cell r="A102" t="str">
            <v>b</v>
          </cell>
          <cell r="B102" t="str">
            <v>PENCH           MDDL    464.50 M</v>
          </cell>
          <cell r="C102" t="str">
            <v>M</v>
          </cell>
          <cell r="D102">
            <v>464.42</v>
          </cell>
          <cell r="E102">
            <v>474.87</v>
          </cell>
          <cell r="F102">
            <v>483.64</v>
          </cell>
          <cell r="G102">
            <v>482.5</v>
          </cell>
          <cell r="H102">
            <v>472.9</v>
          </cell>
        </row>
        <row r="103">
          <cell r="A103">
            <v>0</v>
          </cell>
          <cell r="B103" t="str">
            <v>Energy   Contents   in   MKwh</v>
          </cell>
          <cell r="C103" t="str">
            <v>MU</v>
          </cell>
          <cell r="D103">
            <v>2.5</v>
          </cell>
          <cell r="E103">
            <v>83</v>
          </cell>
          <cell r="F103">
            <v>222.16</v>
          </cell>
          <cell r="G103">
            <v>202</v>
          </cell>
          <cell r="H103">
            <v>63</v>
          </cell>
        </row>
        <row r="104">
          <cell r="A104" t="str">
            <v>c</v>
          </cell>
          <cell r="B104" t="str">
            <v>BARGI           MDDL    403.50 M</v>
          </cell>
          <cell r="C104" t="str">
            <v>M</v>
          </cell>
          <cell r="D104">
            <v>409</v>
          </cell>
          <cell r="E104">
            <v>414.4</v>
          </cell>
          <cell r="F104">
            <v>413.55</v>
          </cell>
          <cell r="G104">
            <v>418.15</v>
          </cell>
          <cell r="H104">
            <v>411.8</v>
          </cell>
        </row>
        <row r="105">
          <cell r="A105">
            <v>0</v>
          </cell>
          <cell r="B105" t="str">
            <v>Energy   Contents   in   MKwh</v>
          </cell>
          <cell r="C105" t="str">
            <v>MU</v>
          </cell>
          <cell r="D105">
            <v>44</v>
          </cell>
          <cell r="E105">
            <v>113</v>
          </cell>
          <cell r="F105">
            <v>100.15</v>
          </cell>
          <cell r="G105">
            <v>192.75</v>
          </cell>
          <cell r="H105">
            <v>77</v>
          </cell>
        </row>
        <row r="106">
          <cell r="A106" t="str">
            <v>d</v>
          </cell>
          <cell r="B106" t="str">
            <v>TONS            MDDL    275.00 M</v>
          </cell>
          <cell r="C106" t="str">
            <v>M</v>
          </cell>
          <cell r="F106">
            <v>277.10000000000002</v>
          </cell>
          <cell r="G106">
            <v>277.3</v>
          </cell>
          <cell r="H106">
            <v>277.3</v>
          </cell>
        </row>
        <row r="107">
          <cell r="A107">
            <v>0</v>
          </cell>
          <cell r="B107" t="str">
            <v>Energy   Contents   in   MKwh</v>
          </cell>
          <cell r="C107" t="str">
            <v>MU</v>
          </cell>
          <cell r="F107">
            <v>1.1279999999999999</v>
          </cell>
          <cell r="G107">
            <v>0</v>
          </cell>
          <cell r="H107">
            <v>0</v>
          </cell>
        </row>
        <row r="108">
          <cell r="A108" t="str">
            <v>e</v>
          </cell>
          <cell r="B108" t="str">
            <v>BIRSINGHPUR     MDDL    471.00 M</v>
          </cell>
          <cell r="C108" t="str">
            <v>M</v>
          </cell>
          <cell r="F108">
            <v>475.97</v>
          </cell>
          <cell r="G108">
            <v>475.1</v>
          </cell>
          <cell r="H108">
            <v>475.34</v>
          </cell>
        </row>
        <row r="109">
          <cell r="A109">
            <v>0</v>
          </cell>
          <cell r="B109" t="str">
            <v>Energy   Contents   in   MKwh</v>
          </cell>
          <cell r="C109" t="str">
            <v>MU</v>
          </cell>
          <cell r="F109">
            <v>4.7477</v>
          </cell>
          <cell r="G109">
            <v>4.5209999999999999</v>
          </cell>
          <cell r="H109">
            <v>4.5</v>
          </cell>
        </row>
        <row r="110">
          <cell r="A110" t="str">
            <v>f</v>
          </cell>
          <cell r="B110" t="str">
            <v>HASDEO-BANGO    MDDL    329.79 M</v>
          </cell>
          <cell r="C110" t="str">
            <v>M</v>
          </cell>
          <cell r="F110" t="str">
            <v>N.A.</v>
          </cell>
          <cell r="G110">
            <v>353.12</v>
          </cell>
          <cell r="H110">
            <v>347.98</v>
          </cell>
        </row>
        <row r="111">
          <cell r="A111">
            <v>0</v>
          </cell>
          <cell r="B111" t="str">
            <v>Energy   Contents   in   MKwh</v>
          </cell>
          <cell r="C111" t="str">
            <v>MU</v>
          </cell>
          <cell r="F111" t="str">
            <v>-</v>
          </cell>
          <cell r="G111">
            <v>152.76295999999999</v>
          </cell>
          <cell r="H111">
            <v>94</v>
          </cell>
        </row>
        <row r="112">
          <cell r="A112" t="str">
            <v>g</v>
          </cell>
          <cell r="B112" t="str">
            <v xml:space="preserve">RAJGHAT     MDDL    </v>
          </cell>
          <cell r="C112" t="str">
            <v>M</v>
          </cell>
          <cell r="F112" t="str">
            <v>N.A.</v>
          </cell>
          <cell r="G112">
            <v>353.12</v>
          </cell>
          <cell r="H112">
            <v>0</v>
          </cell>
        </row>
        <row r="113">
          <cell r="A113">
            <v>0</v>
          </cell>
          <cell r="B113" t="str">
            <v>Energy   Contents   in   MKwh</v>
          </cell>
          <cell r="C113" t="str">
            <v>MU</v>
          </cell>
          <cell r="F113" t="str">
            <v>-</v>
          </cell>
          <cell r="G113">
            <v>152.76295999999999</v>
          </cell>
          <cell r="H113">
            <v>0</v>
          </cell>
        </row>
        <row r="114">
          <cell r="A114">
            <v>0</v>
          </cell>
          <cell r="B114" t="str">
            <v>M.P.E.B. GENERATION  AS PER SHARE</v>
          </cell>
        </row>
        <row r="115">
          <cell r="A115">
            <v>1</v>
          </cell>
          <cell r="B115" t="str">
            <v>THERMAL  ( Excl. 40% Satpura I)</v>
          </cell>
          <cell r="C115" t="str">
            <v>MU</v>
          </cell>
          <cell r="D115">
            <v>11025.74</v>
          </cell>
          <cell r="E115">
            <v>11747.67</v>
          </cell>
          <cell r="F115">
            <v>12723.74</v>
          </cell>
          <cell r="G115">
            <v>14182.079879999999</v>
          </cell>
          <cell r="H115">
            <v>15345.74</v>
          </cell>
        </row>
        <row r="116">
          <cell r="A116">
            <v>2</v>
          </cell>
          <cell r="B116" t="str">
            <v>HYDEL    ( Excl. 50 % Chambal &amp; 1/3 Pench )</v>
          </cell>
          <cell r="C116" t="str">
            <v>MU</v>
          </cell>
          <cell r="D116">
            <v>1498.64</v>
          </cell>
          <cell r="E116">
            <v>1511.49</v>
          </cell>
          <cell r="F116">
            <v>1658.26</v>
          </cell>
          <cell r="G116">
            <v>2415.3094620000002</v>
          </cell>
          <cell r="H116">
            <v>2253.15</v>
          </cell>
        </row>
        <row r="117">
          <cell r="A117">
            <v>3</v>
          </cell>
          <cell r="B117" t="str">
            <v>TOTAL</v>
          </cell>
          <cell r="C117" t="str">
            <v>MU</v>
          </cell>
          <cell r="D117">
            <v>12524.38</v>
          </cell>
          <cell r="E117">
            <v>13259.16</v>
          </cell>
          <cell r="F117">
            <v>14382</v>
          </cell>
          <cell r="G117">
            <v>16597.389341999999</v>
          </cell>
          <cell r="H117">
            <v>17598.88</v>
          </cell>
        </row>
        <row r="118">
          <cell r="A118" t="str">
            <v>Note :-</v>
          </cell>
          <cell r="B118" t="str">
            <v>1.Heavy and good rains resulted in more secondary generation in Hydel Stations in Year 1994-95</v>
          </cell>
        </row>
        <row r="119">
          <cell r="A119" t="str">
            <v>Note :-</v>
          </cell>
          <cell r="B119" t="str">
            <v>2.Intermittent rains practically every month resulted in building up level and non utilisation of water due to lack of demand in 1997-98.</v>
          </cell>
        </row>
        <row r="120">
          <cell r="A120" t="str">
            <v>EXECUTIVE SUMMARY</v>
          </cell>
        </row>
        <row r="121">
          <cell r="A121" t="str">
            <v>96-97 to 00-01</v>
          </cell>
        </row>
        <row r="122">
          <cell r="A122" t="str">
            <v xml:space="preserve"> HYDEL GENETRATION</v>
          </cell>
        </row>
        <row r="123">
          <cell r="A123">
            <v>0</v>
          </cell>
          <cell r="B123" t="str">
            <v>P A R T I C U L A R S</v>
          </cell>
          <cell r="D123" t="str">
            <v>96-97</v>
          </cell>
          <cell r="E123" t="str">
            <v>97-98</v>
          </cell>
          <cell r="F123" t="str">
            <v>98-99</v>
          </cell>
          <cell r="G123" t="str">
            <v>99-00</v>
          </cell>
          <cell r="H123" t="str">
            <v>00-01</v>
          </cell>
        </row>
        <row r="124">
          <cell r="A124">
            <v>1</v>
          </cell>
          <cell r="B124" t="str">
            <v>Hydel Generation(G'sagar+Pench+Bargi+Tons+ B'pur+HB))</v>
          </cell>
          <cell r="C124" t="str">
            <v>MU</v>
          </cell>
          <cell r="D124">
            <v>2067.65</v>
          </cell>
          <cell r="E124">
            <v>2232.69</v>
          </cell>
          <cell r="F124">
            <v>2833.73</v>
          </cell>
          <cell r="G124">
            <v>2459.5</v>
          </cell>
          <cell r="H124">
            <v>1824.28</v>
          </cell>
        </row>
        <row r="125">
          <cell r="A125">
            <v>2</v>
          </cell>
          <cell r="B125" t="str">
            <v xml:space="preserve">Target (PLAN )   </v>
          </cell>
          <cell r="C125" t="str">
            <v>MU</v>
          </cell>
          <cell r="D125">
            <v>2195</v>
          </cell>
          <cell r="E125">
            <v>2195</v>
          </cell>
          <cell r="F125">
            <v>2275</v>
          </cell>
          <cell r="G125">
            <v>2440</v>
          </cell>
          <cell r="H125">
            <v>2480</v>
          </cell>
        </row>
        <row r="126">
          <cell r="A126">
            <v>3</v>
          </cell>
          <cell r="B126" t="str">
            <v>ACHIEVEMENT Percentage of ( 2 )</v>
          </cell>
          <cell r="C126" t="str">
            <v>%</v>
          </cell>
          <cell r="D126">
            <v>94.198177676537583</v>
          </cell>
          <cell r="E126">
            <v>101.71708428246014</v>
          </cell>
          <cell r="F126">
            <v>124.56</v>
          </cell>
          <cell r="G126">
            <v>124.56</v>
          </cell>
          <cell r="H126">
            <v>73.559677419354841</v>
          </cell>
        </row>
        <row r="127">
          <cell r="A127">
            <v>4</v>
          </cell>
          <cell r="B127" t="str">
            <v>Hydel Generation M.P.Share</v>
          </cell>
          <cell r="C127" t="str">
            <v>MU</v>
          </cell>
          <cell r="D127">
            <v>2274.37</v>
          </cell>
          <cell r="E127">
            <v>2324.88</v>
          </cell>
          <cell r="F127">
            <v>2850.57</v>
          </cell>
          <cell r="G127">
            <v>2507.1999999999998</v>
          </cell>
          <cell r="H127">
            <v>1809.98</v>
          </cell>
        </row>
        <row r="128">
          <cell r="A128">
            <v>5</v>
          </cell>
          <cell r="B128" t="str">
            <v xml:space="preserve">Target (PLAN )   </v>
          </cell>
          <cell r="C128" t="str">
            <v>MU</v>
          </cell>
          <cell r="D128">
            <v>2200</v>
          </cell>
          <cell r="E128">
            <v>2200</v>
          </cell>
          <cell r="F128">
            <v>2300</v>
          </cell>
          <cell r="G128">
            <v>2385</v>
          </cell>
          <cell r="H128">
            <v>2424.17</v>
          </cell>
        </row>
        <row r="129">
          <cell r="A129">
            <v>6</v>
          </cell>
          <cell r="B129" t="str">
            <v>ACHIEVEMENT Percentage of ( 5 )</v>
          </cell>
          <cell r="C129" t="str">
            <v>%</v>
          </cell>
          <cell r="D129">
            <v>103.38045454545454</v>
          </cell>
          <cell r="E129">
            <v>105.67636363636363</v>
          </cell>
          <cell r="F129">
            <v>123.94</v>
          </cell>
          <cell r="G129">
            <v>123.94</v>
          </cell>
          <cell r="H129">
            <v>74.663905584179332</v>
          </cell>
        </row>
        <row r="130">
          <cell r="A130">
            <v>7</v>
          </cell>
          <cell r="B130" t="str">
            <v xml:space="preserve">Reservoir Level at the end </v>
          </cell>
        </row>
        <row r="131">
          <cell r="A131" t="str">
            <v>a</v>
          </cell>
          <cell r="B131" t="str">
            <v>GANDHISAGAR     MDDL   1250.00 Ft</v>
          </cell>
          <cell r="C131" t="str">
            <v>FT</v>
          </cell>
          <cell r="D131">
            <v>1291.08</v>
          </cell>
          <cell r="E131">
            <v>1295.8</v>
          </cell>
          <cell r="F131">
            <v>1272.98</v>
          </cell>
          <cell r="G131">
            <v>1265.2</v>
          </cell>
          <cell r="H131">
            <v>1248.69</v>
          </cell>
        </row>
        <row r="132">
          <cell r="A132">
            <v>0</v>
          </cell>
          <cell r="B132" t="str">
            <v>Energy   Contents   in   MKwh</v>
          </cell>
          <cell r="C132" t="str">
            <v>MU</v>
          </cell>
          <cell r="D132">
            <v>336.2</v>
          </cell>
          <cell r="E132">
            <v>411</v>
          </cell>
          <cell r="F132">
            <v>130.84</v>
          </cell>
          <cell r="G132">
            <v>75.400000000000006</v>
          </cell>
          <cell r="H132">
            <v>0</v>
          </cell>
        </row>
        <row r="133">
          <cell r="A133" t="str">
            <v>b</v>
          </cell>
          <cell r="B133" t="str">
            <v>PENCH           MDDL    464.50 M</v>
          </cell>
          <cell r="C133" t="str">
            <v>M</v>
          </cell>
          <cell r="D133">
            <v>467.3</v>
          </cell>
          <cell r="E133">
            <v>486.66</v>
          </cell>
          <cell r="F133">
            <v>481.29</v>
          </cell>
          <cell r="G133">
            <v>478.86</v>
          </cell>
          <cell r="H133">
            <v>463.46</v>
          </cell>
        </row>
        <row r="134">
          <cell r="A134">
            <v>0</v>
          </cell>
          <cell r="B134" t="str">
            <v>Energy   Contents   in   MKwh</v>
          </cell>
          <cell r="C134" t="str">
            <v>MU</v>
          </cell>
          <cell r="D134">
            <v>18.8</v>
          </cell>
          <cell r="E134">
            <v>289.5</v>
          </cell>
          <cell r="F134">
            <v>177.93</v>
          </cell>
          <cell r="G134">
            <v>137.9</v>
          </cell>
          <cell r="H134">
            <v>0</v>
          </cell>
        </row>
        <row r="135">
          <cell r="A135" t="str">
            <v>c</v>
          </cell>
          <cell r="B135" t="str">
            <v>BARGI           MDDL    403.50 M</v>
          </cell>
          <cell r="C135" t="str">
            <v>M</v>
          </cell>
          <cell r="D135">
            <v>411.35</v>
          </cell>
          <cell r="E135">
            <v>416.75</v>
          </cell>
          <cell r="F135">
            <v>410.45</v>
          </cell>
          <cell r="G135">
            <v>411.05</v>
          </cell>
          <cell r="H135">
            <v>410</v>
          </cell>
        </row>
        <row r="136">
          <cell r="A136">
            <v>0</v>
          </cell>
          <cell r="B136" t="str">
            <v>Energy   Contents   in   MKwh</v>
          </cell>
          <cell r="C136" t="str">
            <v>MU</v>
          </cell>
          <cell r="D136">
            <v>71.55</v>
          </cell>
          <cell r="E136">
            <v>160.75</v>
          </cell>
          <cell r="F136">
            <v>60.4</v>
          </cell>
          <cell r="G136">
            <v>67.650000000000006</v>
          </cell>
          <cell r="H136">
            <v>55</v>
          </cell>
        </row>
        <row r="137">
          <cell r="A137" t="str">
            <v>d</v>
          </cell>
          <cell r="B137" t="str">
            <v>TONS            MDDL    275.00 M</v>
          </cell>
          <cell r="C137" t="str">
            <v>M</v>
          </cell>
          <cell r="D137">
            <v>277.3</v>
          </cell>
          <cell r="E137">
            <v>277.2</v>
          </cell>
          <cell r="F137">
            <v>277</v>
          </cell>
          <cell r="G137">
            <v>275</v>
          </cell>
          <cell r="H137">
            <v>276.3</v>
          </cell>
        </row>
        <row r="138">
          <cell r="A138">
            <v>0</v>
          </cell>
          <cell r="B138" t="str">
            <v>Energy   Contents   in   MKwh</v>
          </cell>
          <cell r="C138" t="str">
            <v>MU</v>
          </cell>
          <cell r="D138">
            <v>0</v>
          </cell>
          <cell r="E138">
            <v>0</v>
          </cell>
          <cell r="F138">
            <v>0</v>
          </cell>
          <cell r="G138">
            <v>0</v>
          </cell>
          <cell r="H138">
            <v>0.87</v>
          </cell>
        </row>
        <row r="139">
          <cell r="A139" t="str">
            <v>e</v>
          </cell>
          <cell r="B139" t="str">
            <v>BIRSINGHPUR     MDDL    471.00 M</v>
          </cell>
          <cell r="C139" t="str">
            <v>M</v>
          </cell>
          <cell r="D139">
            <v>475.01</v>
          </cell>
          <cell r="E139">
            <v>475.65</v>
          </cell>
          <cell r="F139">
            <v>474.63</v>
          </cell>
          <cell r="G139">
            <v>475.73</v>
          </cell>
          <cell r="H139">
            <v>474.48</v>
          </cell>
        </row>
        <row r="140">
          <cell r="A140">
            <v>0</v>
          </cell>
          <cell r="B140" t="str">
            <v>Energy   Contents   in   MKwh</v>
          </cell>
          <cell r="C140" t="str">
            <v>MU</v>
          </cell>
          <cell r="D140">
            <v>4.41</v>
          </cell>
          <cell r="E140">
            <v>5.95</v>
          </cell>
          <cell r="F140">
            <v>3.95</v>
          </cell>
          <cell r="G140">
            <v>5.27</v>
          </cell>
          <cell r="H140">
            <v>3.78</v>
          </cell>
        </row>
        <row r="141">
          <cell r="A141" t="str">
            <v>f</v>
          </cell>
          <cell r="B141" t="str">
            <v>HASDEO-BANGO    MDDL    329.79 M</v>
          </cell>
          <cell r="C141" t="str">
            <v>M</v>
          </cell>
          <cell r="D141">
            <v>345</v>
          </cell>
          <cell r="E141">
            <v>355.56</v>
          </cell>
          <cell r="F141">
            <v>334.51</v>
          </cell>
          <cell r="G141">
            <v>344.57</v>
          </cell>
          <cell r="H141">
            <v>345.48</v>
          </cell>
        </row>
        <row r="142">
          <cell r="A142">
            <v>0</v>
          </cell>
          <cell r="B142" t="str">
            <v>Energy   Contents   in   MKwh</v>
          </cell>
          <cell r="C142" t="str">
            <v>MU</v>
          </cell>
          <cell r="D142">
            <v>68</v>
          </cell>
          <cell r="E142">
            <v>187.4</v>
          </cell>
          <cell r="F142">
            <v>13.18</v>
          </cell>
          <cell r="G142">
            <v>64.849999999999994</v>
          </cell>
          <cell r="H142">
            <v>71.36</v>
          </cell>
        </row>
        <row r="143">
          <cell r="A143" t="str">
            <v>g</v>
          </cell>
          <cell r="B143" t="str">
            <v xml:space="preserve">RAJGHAT     MDDL    </v>
          </cell>
          <cell r="C143" t="str">
            <v>M</v>
          </cell>
          <cell r="D143">
            <v>0</v>
          </cell>
          <cell r="E143">
            <v>0</v>
          </cell>
          <cell r="F143">
            <v>0</v>
          </cell>
          <cell r="G143">
            <v>0</v>
          </cell>
          <cell r="H143">
            <v>0</v>
          </cell>
        </row>
        <row r="144">
          <cell r="A144">
            <v>0</v>
          </cell>
          <cell r="B144" t="str">
            <v>Energy   Contents   in   MKwh</v>
          </cell>
          <cell r="C144" t="str">
            <v>MU</v>
          </cell>
          <cell r="D144">
            <v>0</v>
          </cell>
          <cell r="E144">
            <v>0</v>
          </cell>
          <cell r="F144">
            <v>0</v>
          </cell>
          <cell r="G144">
            <v>0</v>
          </cell>
          <cell r="H144">
            <v>0</v>
          </cell>
        </row>
        <row r="145">
          <cell r="A145">
            <v>0</v>
          </cell>
          <cell r="B145" t="str">
            <v>M.P.E.B. GENERATION  AS PER SHARE</v>
          </cell>
        </row>
        <row r="146">
          <cell r="A146">
            <v>1</v>
          </cell>
          <cell r="B146" t="str">
            <v>THERMAL  ( Excl. 40% Satpura I)</v>
          </cell>
          <cell r="C146" t="str">
            <v>MU</v>
          </cell>
          <cell r="D146">
            <v>16139.38</v>
          </cell>
          <cell r="E146">
            <v>17117.55</v>
          </cell>
          <cell r="F146">
            <v>17701.060000000001</v>
          </cell>
          <cell r="G146">
            <v>19305.5</v>
          </cell>
          <cell r="H146">
            <v>19626.939999999999</v>
          </cell>
        </row>
        <row r="147">
          <cell r="A147">
            <v>2</v>
          </cell>
          <cell r="B147" t="str">
            <v>HYDEL    ( Excl. 50 % Chambal &amp; 1/3 Pench )</v>
          </cell>
          <cell r="C147" t="str">
            <v>MU</v>
          </cell>
          <cell r="D147">
            <v>2274.37</v>
          </cell>
          <cell r="E147">
            <v>2324.88</v>
          </cell>
          <cell r="F147">
            <v>2850.57</v>
          </cell>
          <cell r="G147">
            <v>2507.1999999999998</v>
          </cell>
          <cell r="H147">
            <v>1809.98</v>
          </cell>
        </row>
        <row r="148">
          <cell r="A148">
            <v>3</v>
          </cell>
          <cell r="B148" t="str">
            <v>TOTAL</v>
          </cell>
          <cell r="C148" t="str">
            <v>MU</v>
          </cell>
          <cell r="D148">
            <v>18413.75</v>
          </cell>
          <cell r="E148">
            <v>19442.43</v>
          </cell>
          <cell r="F148">
            <v>20551.63</v>
          </cell>
          <cell r="G148">
            <v>21812.7</v>
          </cell>
          <cell r="H148">
            <v>21436.92</v>
          </cell>
        </row>
        <row r="149">
          <cell r="A149" t="str">
            <v>Note :-</v>
          </cell>
          <cell r="B149" t="str">
            <v>1.Heavy and good rains resulted in more secondary generation in Hydel Stations in Year 1994-95</v>
          </cell>
        </row>
        <row r="150">
          <cell r="A150" t="str">
            <v>Note :-</v>
          </cell>
          <cell r="B150" t="str">
            <v>2.Intermittent rains practically every month resulted in building up level and non utilisation of water due to lack of demand in 1997-98.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2004"/>
      <sheetName val="2005-2010"/>
      <sheetName val="PG"/>
      <sheetName val="PP"/>
    </sheetNames>
    <sheetDataSet>
      <sheetData sheetId="0" refreshError="1"/>
      <sheetData sheetId="1" refreshError="1"/>
      <sheetData sheetId="2" refreshError="1"/>
      <sheetData sheetId="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현장배관물량집계"/>
      <sheetName val="현장SUPP'T물량집계"/>
      <sheetName val="Valve집계"/>
      <sheetName val="현장배관물량"/>
      <sheetName val="현장지지물물량"/>
      <sheetName val="현장집계3"/>
      <sheetName val="Sheet1"/>
      <sheetName val="DJ1"/>
      <sheetName val="CMA Calculations"/>
      <sheetName val="북제주도면별산출근거"/>
      <sheetName val="Financial Estimates"/>
      <sheetName val="SALARY"/>
      <sheetName val="MOB-MAN1"/>
      <sheetName val="Code"/>
      <sheetName val="LIST"/>
      <sheetName val="판매46"/>
    </sheetNames>
    <sheetDataSet>
      <sheetData sheetId="0"/>
      <sheetData sheetId="1"/>
      <sheetData sheetId="2"/>
      <sheetData sheetId="3"/>
      <sheetData sheetId="4" refreshError="1">
        <row r="1">
          <cell r="F1" t="str">
            <v>*********************************</v>
          </cell>
        </row>
        <row r="2">
          <cell r="F2" t="str">
            <v>*****   FIELD FAB. SUPPORT  *****</v>
          </cell>
        </row>
        <row r="3">
          <cell r="F3" t="str">
            <v>*********************************</v>
          </cell>
        </row>
        <row r="4">
          <cell r="A4" t="str">
            <v>=</v>
          </cell>
          <cell r="B4" t="str">
            <v>=</v>
          </cell>
          <cell r="C4" t="str">
            <v>=</v>
          </cell>
          <cell r="D4" t="str">
            <v>=</v>
          </cell>
          <cell r="E4" t="str">
            <v>=</v>
          </cell>
          <cell r="F4" t="str">
            <v>=</v>
          </cell>
          <cell r="G4" t="str">
            <v>=</v>
          </cell>
          <cell r="H4" t="str">
            <v>=</v>
          </cell>
          <cell r="I4" t="str">
            <v>=</v>
          </cell>
          <cell r="J4" t="str">
            <v>=</v>
          </cell>
          <cell r="K4" t="str">
            <v>=</v>
          </cell>
          <cell r="L4" t="str">
            <v>=</v>
          </cell>
          <cell r="M4" t="str">
            <v>=</v>
          </cell>
          <cell r="N4" t="str">
            <v>=</v>
          </cell>
          <cell r="Q4" t="str">
            <v>=</v>
          </cell>
        </row>
        <row r="5">
          <cell r="A5" t="str">
            <v>DWG.NO.</v>
          </cell>
          <cell r="B5" t="str">
            <v>SPEC</v>
          </cell>
          <cell r="C5" t="str">
            <v>ITEM</v>
          </cell>
          <cell r="D5" t="str">
            <v>MATERIAL</v>
          </cell>
          <cell r="E5" t="str">
            <v xml:space="preserve">    SIZE</v>
          </cell>
          <cell r="F5" t="str">
            <v>LANGTH</v>
          </cell>
          <cell r="G5" t="str">
            <v>SYS.-DIA</v>
          </cell>
          <cell r="H5" t="str">
            <v>TOTAL</v>
          </cell>
          <cell r="I5" t="str">
            <v>ELEVATION</v>
          </cell>
          <cell r="K5" t="str">
            <v>IN/OUT</v>
          </cell>
          <cell r="L5" t="str">
            <v>UNIT WT</v>
          </cell>
          <cell r="M5" t="str">
            <v>TOTAL WT</v>
          </cell>
          <cell r="N5" t="str">
            <v>REMARK</v>
          </cell>
          <cell r="P5" t="str">
            <v>SET</v>
          </cell>
          <cell r="Q5" t="str">
            <v>Q'TY</v>
          </cell>
        </row>
        <row r="6">
          <cell r="A6" t="str">
            <v>=</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t="str">
            <v>=</v>
          </cell>
          <cell r="Q6" t="str">
            <v>=</v>
          </cell>
        </row>
        <row r="8">
          <cell r="A8" t="str">
            <v>03980-001</v>
          </cell>
          <cell r="C8" t="str">
            <v>H-BEAM</v>
          </cell>
          <cell r="D8" t="str">
            <v>C S</v>
          </cell>
          <cell r="E8" t="str">
            <v>H100x100x6x8</v>
          </cell>
          <cell r="F8">
            <v>670</v>
          </cell>
          <cell r="G8" t="str">
            <v>71200- 80</v>
          </cell>
          <cell r="H8">
            <v>1</v>
          </cell>
          <cell r="I8" t="str">
            <v>7150/5900</v>
          </cell>
        </row>
        <row r="9">
          <cell r="A9" t="str">
            <v>03980-001</v>
          </cell>
          <cell r="C9" t="str">
            <v>H-BEAM</v>
          </cell>
          <cell r="D9" t="str">
            <v>C S</v>
          </cell>
          <cell r="E9" t="str">
            <v>H100x100x6x8</v>
          </cell>
          <cell r="F9">
            <v>820</v>
          </cell>
          <cell r="G9" t="str">
            <v>71200- 80</v>
          </cell>
          <cell r="H9">
            <v>1</v>
          </cell>
          <cell r="I9" t="str">
            <v>7150/5900</v>
          </cell>
        </row>
        <row r="10">
          <cell r="A10" t="str">
            <v>03980-001</v>
          </cell>
          <cell r="C10" t="str">
            <v>CT</v>
          </cell>
          <cell r="D10" t="str">
            <v>C S</v>
          </cell>
          <cell r="E10" t="str">
            <v>CT100x150x6x9</v>
          </cell>
          <cell r="F10">
            <v>300</v>
          </cell>
          <cell r="G10" t="str">
            <v>71200- 80</v>
          </cell>
          <cell r="H10">
            <v>1</v>
          </cell>
          <cell r="I10" t="str">
            <v>7150/5900</v>
          </cell>
        </row>
        <row r="11">
          <cell r="A11" t="str">
            <v>03980-001</v>
          </cell>
          <cell r="C11" t="str">
            <v>PLATE</v>
          </cell>
          <cell r="D11" t="str">
            <v>C S</v>
          </cell>
          <cell r="E11" t="str">
            <v>PL103x70x9t</v>
          </cell>
          <cell r="G11" t="str">
            <v>71200- 80</v>
          </cell>
          <cell r="H11">
            <v>4</v>
          </cell>
          <cell r="I11" t="str">
            <v>7150/5900</v>
          </cell>
        </row>
        <row r="12">
          <cell r="A12" t="str">
            <v>03980-001</v>
          </cell>
          <cell r="C12" t="str">
            <v>CT</v>
          </cell>
          <cell r="D12" t="str">
            <v>C S</v>
          </cell>
          <cell r="E12" t="str">
            <v>CT100x100x5.5x8</v>
          </cell>
          <cell r="F12">
            <v>150</v>
          </cell>
          <cell r="G12" t="str">
            <v>71200- 50</v>
          </cell>
          <cell r="H12">
            <v>1</v>
          </cell>
          <cell r="I12" t="str">
            <v>7150/5900</v>
          </cell>
        </row>
        <row r="14">
          <cell r="A14" t="str">
            <v>03980-002</v>
          </cell>
          <cell r="C14" t="str">
            <v>H-BEAM</v>
          </cell>
          <cell r="D14" t="str">
            <v>C S</v>
          </cell>
          <cell r="E14" t="str">
            <v>H100x100x6x8</v>
          </cell>
          <cell r="F14">
            <v>670</v>
          </cell>
          <cell r="G14" t="str">
            <v>71200- 80</v>
          </cell>
          <cell r="H14">
            <v>1</v>
          </cell>
          <cell r="I14" t="str">
            <v>7150/5900</v>
          </cell>
        </row>
        <row r="15">
          <cell r="A15" t="str">
            <v>03980-002</v>
          </cell>
          <cell r="C15" t="str">
            <v>H-BEAM</v>
          </cell>
          <cell r="D15" t="str">
            <v>C S</v>
          </cell>
          <cell r="E15" t="str">
            <v>H100x100x6x8</v>
          </cell>
          <cell r="F15">
            <v>550</v>
          </cell>
          <cell r="G15" t="str">
            <v>71200- 80</v>
          </cell>
          <cell r="H15">
            <v>1</v>
          </cell>
          <cell r="I15" t="str">
            <v>7150/5900</v>
          </cell>
        </row>
        <row r="16">
          <cell r="A16" t="str">
            <v>03980-002</v>
          </cell>
          <cell r="C16" t="str">
            <v>CT</v>
          </cell>
          <cell r="D16" t="str">
            <v>C S</v>
          </cell>
          <cell r="E16" t="str">
            <v>CT100x150x6x9</v>
          </cell>
          <cell r="F16">
            <v>300</v>
          </cell>
          <cell r="G16" t="str">
            <v>71200- 80</v>
          </cell>
          <cell r="H16">
            <v>1</v>
          </cell>
          <cell r="I16" t="str">
            <v>7150/5900</v>
          </cell>
        </row>
        <row r="17">
          <cell r="A17" t="str">
            <v>03980-002</v>
          </cell>
          <cell r="C17" t="str">
            <v>PLATE</v>
          </cell>
          <cell r="D17" t="str">
            <v>C S</v>
          </cell>
          <cell r="E17" t="str">
            <v>PL103x70x9t</v>
          </cell>
          <cell r="G17" t="str">
            <v>71200- 80</v>
          </cell>
          <cell r="H17">
            <v>4</v>
          </cell>
          <cell r="I17" t="str">
            <v>7150/5900</v>
          </cell>
        </row>
        <row r="19">
          <cell r="A19" t="str">
            <v>03980-003</v>
          </cell>
          <cell r="C19" t="str">
            <v>CT</v>
          </cell>
          <cell r="D19" t="str">
            <v>C S</v>
          </cell>
          <cell r="E19" t="str">
            <v>CT100x150x6x9</v>
          </cell>
          <cell r="F19">
            <v>300</v>
          </cell>
          <cell r="G19" t="str">
            <v>71200- 80</v>
          </cell>
          <cell r="H19">
            <v>1</v>
          </cell>
          <cell r="I19" t="str">
            <v>7150/5900</v>
          </cell>
        </row>
        <row r="20">
          <cell r="A20" t="str">
            <v>03980-003</v>
          </cell>
          <cell r="C20" t="str">
            <v>PLATE</v>
          </cell>
          <cell r="D20" t="str">
            <v>C S</v>
          </cell>
          <cell r="E20" t="str">
            <v>PL103x70x9t</v>
          </cell>
          <cell r="G20" t="str">
            <v>71200- 80</v>
          </cell>
          <cell r="H20">
            <v>8</v>
          </cell>
          <cell r="I20" t="str">
            <v>7150/5900</v>
          </cell>
        </row>
        <row r="21">
          <cell r="A21" t="str">
            <v>03980-003</v>
          </cell>
          <cell r="C21" t="str">
            <v>PLATE</v>
          </cell>
          <cell r="D21" t="str">
            <v>C S</v>
          </cell>
          <cell r="E21" t="str">
            <v>PL100x50x12t</v>
          </cell>
          <cell r="G21" t="str">
            <v>71200- 80</v>
          </cell>
          <cell r="H21">
            <v>4</v>
          </cell>
          <cell r="I21" t="str">
            <v>7150/5900</v>
          </cell>
        </row>
        <row r="22">
          <cell r="A22" t="str">
            <v>03980-003</v>
          </cell>
          <cell r="C22" t="str">
            <v>PLATE</v>
          </cell>
          <cell r="D22" t="str">
            <v>C S</v>
          </cell>
          <cell r="E22" t="str">
            <v>PL80x50x9t</v>
          </cell>
          <cell r="G22" t="str">
            <v>71200- 80</v>
          </cell>
          <cell r="H22">
            <v>4</v>
          </cell>
          <cell r="I22" t="str">
            <v>7150/5900</v>
          </cell>
        </row>
        <row r="24">
          <cell r="A24" t="str">
            <v>03980-004</v>
          </cell>
          <cell r="C24" t="str">
            <v>CT</v>
          </cell>
          <cell r="D24" t="str">
            <v>C S</v>
          </cell>
          <cell r="E24" t="str">
            <v>CT100x150x6x9</v>
          </cell>
          <cell r="F24">
            <v>300</v>
          </cell>
          <cell r="G24" t="str">
            <v>71200- 80</v>
          </cell>
          <cell r="H24">
            <v>1</v>
          </cell>
          <cell r="I24" t="str">
            <v>7150/5900</v>
          </cell>
        </row>
        <row r="25">
          <cell r="A25" t="str">
            <v>03980-004</v>
          </cell>
          <cell r="C25" t="str">
            <v>PLATE</v>
          </cell>
          <cell r="D25" t="str">
            <v>C S</v>
          </cell>
          <cell r="E25" t="str">
            <v>PL103x70x9t</v>
          </cell>
          <cell r="G25" t="str">
            <v>71200- 80</v>
          </cell>
          <cell r="H25">
            <v>4</v>
          </cell>
          <cell r="I25" t="str">
            <v>7150/5900</v>
          </cell>
        </row>
        <row r="27">
          <cell r="A27" t="str">
            <v>03980-005</v>
          </cell>
          <cell r="C27" t="str">
            <v>H-BEAM</v>
          </cell>
          <cell r="D27" t="str">
            <v>C S</v>
          </cell>
          <cell r="E27" t="str">
            <v>H100x100x6x8</v>
          </cell>
          <cell r="F27">
            <v>450</v>
          </cell>
          <cell r="G27" t="str">
            <v>71200- 80</v>
          </cell>
          <cell r="H27">
            <v>1</v>
          </cell>
          <cell r="I27" t="str">
            <v>7150/5900</v>
          </cell>
        </row>
        <row r="28">
          <cell r="A28" t="str">
            <v>03980-005</v>
          </cell>
          <cell r="C28" t="str">
            <v>3-BOLT PIPE CLAMP</v>
          </cell>
          <cell r="D28" t="str">
            <v>C S</v>
          </cell>
          <cell r="E28" t="str">
            <v>DN 80</v>
          </cell>
          <cell r="G28" t="str">
            <v>71200- 80</v>
          </cell>
          <cell r="H28">
            <v>1</v>
          </cell>
          <cell r="I28" t="str">
            <v>7150/5900</v>
          </cell>
        </row>
        <row r="29">
          <cell r="A29" t="str">
            <v>03980-005</v>
          </cell>
          <cell r="C29" t="str">
            <v>WEL'D BEAM ATTACH.</v>
          </cell>
          <cell r="D29" t="str">
            <v>C S</v>
          </cell>
          <cell r="E29" t="str">
            <v>M12</v>
          </cell>
          <cell r="G29" t="str">
            <v>71200- 80</v>
          </cell>
          <cell r="H29">
            <v>1</v>
          </cell>
          <cell r="I29" t="str">
            <v>7150/5900</v>
          </cell>
        </row>
        <row r="30">
          <cell r="A30" t="str">
            <v>03980-005</v>
          </cell>
          <cell r="C30" t="str">
            <v>EYE NUT</v>
          </cell>
          <cell r="D30" t="str">
            <v>C S</v>
          </cell>
          <cell r="E30" t="str">
            <v>M12</v>
          </cell>
          <cell r="G30" t="str">
            <v>71200- 80</v>
          </cell>
          <cell r="H30">
            <v>2</v>
          </cell>
          <cell r="I30" t="str">
            <v>7150/5900</v>
          </cell>
        </row>
        <row r="31">
          <cell r="A31" t="str">
            <v>03980-005</v>
          </cell>
          <cell r="C31" t="str">
            <v>THR'D ROD R.H</v>
          </cell>
          <cell r="D31" t="str">
            <v>C S</v>
          </cell>
          <cell r="E31" t="str">
            <v>M12</v>
          </cell>
          <cell r="F31">
            <v>1000</v>
          </cell>
          <cell r="G31" t="str">
            <v>71200- 80</v>
          </cell>
          <cell r="H31">
            <v>1</v>
          </cell>
          <cell r="I31" t="str">
            <v>7150/5900</v>
          </cell>
        </row>
        <row r="32">
          <cell r="A32" t="str">
            <v>03980-005</v>
          </cell>
          <cell r="C32" t="str">
            <v>TURNBUCKLE</v>
          </cell>
          <cell r="D32" t="str">
            <v>C S</v>
          </cell>
          <cell r="E32" t="str">
            <v>M12</v>
          </cell>
          <cell r="G32" t="str">
            <v>71200- 80</v>
          </cell>
          <cell r="H32">
            <v>1</v>
          </cell>
          <cell r="I32" t="str">
            <v>7150/5900</v>
          </cell>
        </row>
        <row r="33">
          <cell r="A33" t="str">
            <v>03980-005</v>
          </cell>
          <cell r="C33" t="str">
            <v>THR'D ROD R.H&amp;L.H</v>
          </cell>
          <cell r="D33" t="str">
            <v>C S</v>
          </cell>
          <cell r="E33" t="str">
            <v>M12</v>
          </cell>
          <cell r="F33">
            <v>980</v>
          </cell>
          <cell r="G33" t="str">
            <v>71200- 80</v>
          </cell>
          <cell r="H33">
            <v>1</v>
          </cell>
          <cell r="I33" t="str">
            <v>7150/5900</v>
          </cell>
        </row>
        <row r="35">
          <cell r="A35" t="str">
            <v>03980-006</v>
          </cell>
          <cell r="C35" t="str">
            <v>H-BEAM</v>
          </cell>
          <cell r="D35" t="str">
            <v>C S</v>
          </cell>
          <cell r="E35" t="str">
            <v>H100x100x6x8</v>
          </cell>
          <cell r="F35">
            <v>550</v>
          </cell>
          <cell r="G35" t="str">
            <v>71200- 80</v>
          </cell>
          <cell r="H35">
            <v>1</v>
          </cell>
          <cell r="I35" t="str">
            <v>7150/5900</v>
          </cell>
        </row>
        <row r="36">
          <cell r="A36" t="str">
            <v>03980-006</v>
          </cell>
          <cell r="C36" t="str">
            <v>CT</v>
          </cell>
          <cell r="D36" t="str">
            <v>C S</v>
          </cell>
          <cell r="E36" t="str">
            <v>CT100x150x6x9</v>
          </cell>
          <cell r="F36">
            <v>300</v>
          </cell>
          <cell r="G36" t="str">
            <v>71200- 80</v>
          </cell>
          <cell r="H36">
            <v>1</v>
          </cell>
          <cell r="I36" t="str">
            <v>7150/5900</v>
          </cell>
        </row>
        <row r="37">
          <cell r="A37" t="str">
            <v>03980-006</v>
          </cell>
          <cell r="C37" t="str">
            <v>PLATE</v>
          </cell>
          <cell r="D37" t="str">
            <v>C S</v>
          </cell>
          <cell r="E37" t="str">
            <v>PL103x70x9t</v>
          </cell>
          <cell r="G37" t="str">
            <v>71200- 80</v>
          </cell>
          <cell r="H37">
            <v>4</v>
          </cell>
          <cell r="I37" t="str">
            <v>7150/5900</v>
          </cell>
        </row>
        <row r="38">
          <cell r="A38" t="str">
            <v>03980-006</v>
          </cell>
          <cell r="C38" t="str">
            <v>PLATE</v>
          </cell>
          <cell r="D38" t="str">
            <v>C S</v>
          </cell>
          <cell r="E38" t="str">
            <v>PL100x50x12t</v>
          </cell>
          <cell r="G38" t="str">
            <v>71200- 80</v>
          </cell>
          <cell r="H38">
            <v>2</v>
          </cell>
          <cell r="I38" t="str">
            <v>7150/5900</v>
          </cell>
        </row>
        <row r="39">
          <cell r="A39" t="str">
            <v>03980-006</v>
          </cell>
          <cell r="C39" t="str">
            <v>PLATE</v>
          </cell>
          <cell r="D39" t="str">
            <v>C S</v>
          </cell>
          <cell r="E39" t="str">
            <v>PL80x50x9t</v>
          </cell>
          <cell r="G39" t="str">
            <v>71200- 80</v>
          </cell>
          <cell r="H39">
            <v>2</v>
          </cell>
          <cell r="I39" t="str">
            <v>7150/5900</v>
          </cell>
        </row>
        <row r="41">
          <cell r="A41" t="str">
            <v>03980-007</v>
          </cell>
          <cell r="C41" t="str">
            <v>CHANNEL</v>
          </cell>
          <cell r="D41" t="str">
            <v>C S</v>
          </cell>
          <cell r="E41" t="str">
            <v>C100x50x5x7.5</v>
          </cell>
          <cell r="F41">
            <v>200</v>
          </cell>
          <cell r="G41" t="str">
            <v>71200- 80</v>
          </cell>
          <cell r="H41">
            <v>1</v>
          </cell>
        </row>
        <row r="42">
          <cell r="A42" t="str">
            <v>03980-007</v>
          </cell>
          <cell r="C42" t="str">
            <v>CT</v>
          </cell>
          <cell r="D42" t="str">
            <v>C S</v>
          </cell>
          <cell r="E42" t="str">
            <v>CT100x150x6x9</v>
          </cell>
          <cell r="F42">
            <v>300</v>
          </cell>
          <cell r="G42" t="str">
            <v>71200- 80</v>
          </cell>
          <cell r="H42">
            <v>1</v>
          </cell>
        </row>
        <row r="43">
          <cell r="A43" t="str">
            <v>03980-007</v>
          </cell>
          <cell r="C43" t="str">
            <v>PLATE</v>
          </cell>
          <cell r="D43" t="str">
            <v>C S</v>
          </cell>
          <cell r="E43" t="str">
            <v>PL103x70x9t</v>
          </cell>
          <cell r="G43" t="str">
            <v>71200- 80</v>
          </cell>
          <cell r="H43">
            <v>4</v>
          </cell>
          <cell r="I43" t="str">
            <v>7150/5900</v>
          </cell>
        </row>
        <row r="45">
          <cell r="A45" t="str">
            <v>03980-008</v>
          </cell>
          <cell r="C45" t="str">
            <v>CHANNEL</v>
          </cell>
          <cell r="D45" t="str">
            <v>C S</v>
          </cell>
          <cell r="E45" t="str">
            <v>C100x50x5x7.5</v>
          </cell>
          <cell r="F45">
            <v>300</v>
          </cell>
          <cell r="G45" t="str">
            <v>71200- 80</v>
          </cell>
          <cell r="H45">
            <v>1</v>
          </cell>
        </row>
        <row r="46">
          <cell r="A46" t="str">
            <v>03980-008</v>
          </cell>
          <cell r="C46" t="str">
            <v>CT</v>
          </cell>
          <cell r="D46" t="str">
            <v>C S</v>
          </cell>
          <cell r="E46" t="str">
            <v>CT100x150x6x9</v>
          </cell>
          <cell r="F46">
            <v>300</v>
          </cell>
          <cell r="G46" t="str">
            <v>71200- 80</v>
          </cell>
          <cell r="H46">
            <v>1</v>
          </cell>
        </row>
        <row r="47">
          <cell r="A47" t="str">
            <v>03980-008</v>
          </cell>
          <cell r="C47" t="str">
            <v>PLATE</v>
          </cell>
          <cell r="D47" t="str">
            <v>C S</v>
          </cell>
          <cell r="E47" t="str">
            <v>PL103x70x9t</v>
          </cell>
          <cell r="G47" t="str">
            <v>71200- 80</v>
          </cell>
          <cell r="H47">
            <v>4</v>
          </cell>
          <cell r="I47" t="str">
            <v>7150/5900</v>
          </cell>
        </row>
        <row r="48">
          <cell r="A48" t="str">
            <v>03980-008</v>
          </cell>
          <cell r="C48" t="str">
            <v>PLATE</v>
          </cell>
          <cell r="D48" t="str">
            <v>C S</v>
          </cell>
          <cell r="E48" t="str">
            <v>PL100x50x12t</v>
          </cell>
          <cell r="G48" t="str">
            <v>71200- 80</v>
          </cell>
          <cell r="H48">
            <v>2</v>
          </cell>
          <cell r="I48" t="str">
            <v>7150/5900</v>
          </cell>
        </row>
        <row r="49">
          <cell r="A49" t="str">
            <v>03980-008</v>
          </cell>
          <cell r="C49" t="str">
            <v>PLATE</v>
          </cell>
          <cell r="D49" t="str">
            <v>C S</v>
          </cell>
          <cell r="E49" t="str">
            <v>PL80x50x9t</v>
          </cell>
          <cell r="G49" t="str">
            <v>71200- 80</v>
          </cell>
          <cell r="H49">
            <v>2</v>
          </cell>
          <cell r="I49" t="str">
            <v>7150/5900</v>
          </cell>
        </row>
        <row r="51">
          <cell r="A51" t="str">
            <v>03980-009</v>
          </cell>
          <cell r="C51" t="str">
            <v>CT</v>
          </cell>
          <cell r="D51" t="str">
            <v>C S</v>
          </cell>
          <cell r="E51" t="str">
            <v>CT100x150x6x9</v>
          </cell>
          <cell r="F51">
            <v>300</v>
          </cell>
          <cell r="G51" t="str">
            <v>71200- 80</v>
          </cell>
          <cell r="H51">
            <v>1</v>
          </cell>
        </row>
        <row r="52">
          <cell r="A52" t="str">
            <v>03980-009</v>
          </cell>
          <cell r="C52" t="str">
            <v>PLATE</v>
          </cell>
          <cell r="D52" t="str">
            <v>C S</v>
          </cell>
          <cell r="E52" t="str">
            <v>PL103x70x9t</v>
          </cell>
          <cell r="G52" t="str">
            <v>71200- 80</v>
          </cell>
          <cell r="H52">
            <v>4</v>
          </cell>
          <cell r="I52" t="str">
            <v>7150/5900</v>
          </cell>
        </row>
        <row r="54">
          <cell r="A54" t="str">
            <v>03980-010</v>
          </cell>
          <cell r="C54" t="str">
            <v>CT</v>
          </cell>
          <cell r="D54" t="str">
            <v>C S</v>
          </cell>
          <cell r="E54" t="str">
            <v>CT100x150x6x9</v>
          </cell>
          <cell r="F54">
            <v>300</v>
          </cell>
          <cell r="G54" t="str">
            <v>71200- 80</v>
          </cell>
          <cell r="H54">
            <v>6</v>
          </cell>
        </row>
        <row r="55">
          <cell r="A55" t="str">
            <v>03980-010</v>
          </cell>
          <cell r="C55" t="str">
            <v>PLATE</v>
          </cell>
          <cell r="D55" t="str">
            <v>C S</v>
          </cell>
          <cell r="E55" t="str">
            <v>PL103x70x9t</v>
          </cell>
          <cell r="G55" t="str">
            <v>71200- 80</v>
          </cell>
          <cell r="H55">
            <v>24</v>
          </cell>
          <cell r="I55" t="str">
            <v>7150/5900</v>
          </cell>
        </row>
        <row r="57">
          <cell r="A57" t="str">
            <v>03980-011</v>
          </cell>
          <cell r="C57" t="str">
            <v>PIPE STD WT</v>
          </cell>
          <cell r="D57" t="str">
            <v>C S</v>
          </cell>
          <cell r="E57" t="str">
            <v>DN 50</v>
          </cell>
          <cell r="F57">
            <v>103</v>
          </cell>
          <cell r="G57" t="str">
            <v>71200- 80</v>
          </cell>
          <cell r="H57">
            <v>2</v>
          </cell>
        </row>
        <row r="58">
          <cell r="A58" t="str">
            <v>03980-011</v>
          </cell>
          <cell r="C58" t="str">
            <v>PLATE</v>
          </cell>
          <cell r="D58" t="str">
            <v>C S</v>
          </cell>
          <cell r="E58" t="str">
            <v>PL110x110x6t</v>
          </cell>
          <cell r="G58" t="str">
            <v>71200- 80</v>
          </cell>
          <cell r="H58">
            <v>2</v>
          </cell>
          <cell r="I58" t="str">
            <v>7150/5900</v>
          </cell>
        </row>
        <row r="60">
          <cell r="A60" t="str">
            <v>03980-012</v>
          </cell>
          <cell r="C60" t="str">
            <v>CT</v>
          </cell>
          <cell r="D60" t="str">
            <v>C S</v>
          </cell>
          <cell r="E60" t="str">
            <v>CT100x150x6x9</v>
          </cell>
          <cell r="F60">
            <v>300</v>
          </cell>
          <cell r="G60" t="str">
            <v>71200- 80</v>
          </cell>
          <cell r="H60">
            <v>2</v>
          </cell>
          <cell r="I60" t="str">
            <v>7150/5900</v>
          </cell>
        </row>
        <row r="61">
          <cell r="A61" t="str">
            <v>03980-012</v>
          </cell>
          <cell r="C61" t="str">
            <v>PLATE</v>
          </cell>
          <cell r="D61" t="str">
            <v>C S</v>
          </cell>
          <cell r="E61" t="str">
            <v>PL103x70x9t</v>
          </cell>
          <cell r="G61" t="str">
            <v>71200- 80</v>
          </cell>
          <cell r="H61">
            <v>8</v>
          </cell>
          <cell r="I61" t="str">
            <v>7150/5900</v>
          </cell>
        </row>
        <row r="62">
          <cell r="A62" t="str">
            <v>03980-012</v>
          </cell>
          <cell r="C62" t="str">
            <v>PLATE</v>
          </cell>
          <cell r="D62" t="str">
            <v>C S</v>
          </cell>
          <cell r="E62" t="str">
            <v>PL100x50x12t</v>
          </cell>
          <cell r="G62" t="str">
            <v>71200- 80</v>
          </cell>
          <cell r="H62">
            <v>4</v>
          </cell>
          <cell r="I62" t="str">
            <v>7150/5900</v>
          </cell>
        </row>
        <row r="63">
          <cell r="A63" t="str">
            <v>03980-012</v>
          </cell>
          <cell r="C63" t="str">
            <v>PLATE</v>
          </cell>
          <cell r="D63" t="str">
            <v>C S</v>
          </cell>
          <cell r="E63" t="str">
            <v>PL80x50x9t</v>
          </cell>
          <cell r="G63" t="str">
            <v>71200- 80</v>
          </cell>
          <cell r="H63">
            <v>4</v>
          </cell>
          <cell r="I63" t="str">
            <v>7150/5900</v>
          </cell>
        </row>
        <row r="65">
          <cell r="A65" t="str">
            <v>03980-013</v>
          </cell>
          <cell r="C65" t="str">
            <v>CHANNEL</v>
          </cell>
          <cell r="D65" t="str">
            <v>C S</v>
          </cell>
          <cell r="E65" t="str">
            <v>C100x50x5x7.5</v>
          </cell>
          <cell r="F65">
            <v>200</v>
          </cell>
          <cell r="G65" t="str">
            <v>71200- 80</v>
          </cell>
          <cell r="H65">
            <v>5</v>
          </cell>
        </row>
        <row r="66">
          <cell r="A66" t="str">
            <v>03980-013</v>
          </cell>
          <cell r="C66" t="str">
            <v>CT</v>
          </cell>
          <cell r="D66" t="str">
            <v>C S</v>
          </cell>
          <cell r="E66" t="str">
            <v>CT100x150x6x9</v>
          </cell>
          <cell r="F66">
            <v>300</v>
          </cell>
          <cell r="G66" t="str">
            <v>71200- 80</v>
          </cell>
          <cell r="H66">
            <v>5</v>
          </cell>
        </row>
        <row r="67">
          <cell r="A67" t="str">
            <v>03980-013</v>
          </cell>
          <cell r="C67" t="str">
            <v>PLATE</v>
          </cell>
          <cell r="D67" t="str">
            <v>C S</v>
          </cell>
          <cell r="E67" t="str">
            <v>PL103x70x9t</v>
          </cell>
          <cell r="G67" t="str">
            <v>71200- 80</v>
          </cell>
          <cell r="H67">
            <v>20</v>
          </cell>
          <cell r="I67" t="str">
            <v>7150/5900</v>
          </cell>
        </row>
        <row r="69">
          <cell r="A69" t="str">
            <v>03980-014</v>
          </cell>
          <cell r="C69" t="str">
            <v>H-BEAM</v>
          </cell>
          <cell r="D69" t="str">
            <v>C S</v>
          </cell>
          <cell r="E69" t="str">
            <v>H100x100x6x8</v>
          </cell>
          <cell r="F69">
            <v>970</v>
          </cell>
          <cell r="G69" t="str">
            <v>71200- 80</v>
          </cell>
          <cell r="H69">
            <v>2</v>
          </cell>
          <cell r="I69" t="str">
            <v>7150/5900</v>
          </cell>
        </row>
        <row r="70">
          <cell r="A70" t="str">
            <v>03980-014</v>
          </cell>
          <cell r="C70" t="str">
            <v>CT</v>
          </cell>
          <cell r="D70" t="str">
            <v>C S</v>
          </cell>
          <cell r="E70" t="str">
            <v>CT100x150x6x9</v>
          </cell>
          <cell r="F70">
            <v>300</v>
          </cell>
          <cell r="G70" t="str">
            <v>71200- 80</v>
          </cell>
          <cell r="H70">
            <v>2</v>
          </cell>
          <cell r="I70" t="str">
            <v>7150/5900</v>
          </cell>
        </row>
        <row r="71">
          <cell r="A71" t="str">
            <v>03980-014</v>
          </cell>
          <cell r="C71" t="str">
            <v>PLATE</v>
          </cell>
          <cell r="D71" t="str">
            <v>C S</v>
          </cell>
          <cell r="E71" t="str">
            <v>PL103x70x9t</v>
          </cell>
          <cell r="G71" t="str">
            <v>71200- 80</v>
          </cell>
          <cell r="H71">
            <v>8</v>
          </cell>
          <cell r="I71" t="str">
            <v>7150/5900</v>
          </cell>
        </row>
        <row r="73">
          <cell r="A73" t="str">
            <v>03980-015</v>
          </cell>
          <cell r="C73" t="str">
            <v>H-BEAM</v>
          </cell>
          <cell r="D73" t="str">
            <v>C S</v>
          </cell>
          <cell r="E73" t="str">
            <v>H100x100x6x8</v>
          </cell>
          <cell r="F73">
            <v>970</v>
          </cell>
          <cell r="G73" t="str">
            <v>71200- 80</v>
          </cell>
          <cell r="H73">
            <v>1</v>
          </cell>
          <cell r="I73" t="str">
            <v>7150/5900</v>
          </cell>
        </row>
        <row r="74">
          <cell r="A74" t="str">
            <v>03980-015</v>
          </cell>
          <cell r="C74" t="str">
            <v>CT</v>
          </cell>
          <cell r="D74" t="str">
            <v>C S</v>
          </cell>
          <cell r="E74" t="str">
            <v>CT100x150x6x9</v>
          </cell>
          <cell r="F74">
            <v>300</v>
          </cell>
          <cell r="G74" t="str">
            <v>71200- 80</v>
          </cell>
          <cell r="H74">
            <v>1</v>
          </cell>
          <cell r="I74" t="str">
            <v>7150/5900</v>
          </cell>
        </row>
        <row r="75">
          <cell r="A75" t="str">
            <v>03980-015</v>
          </cell>
          <cell r="C75" t="str">
            <v>PLATE</v>
          </cell>
          <cell r="D75" t="str">
            <v>C S</v>
          </cell>
          <cell r="E75" t="str">
            <v>PL103x70x9t</v>
          </cell>
          <cell r="G75" t="str">
            <v>71200- 80</v>
          </cell>
          <cell r="H75">
            <v>4</v>
          </cell>
          <cell r="I75" t="str">
            <v>7150/5900</v>
          </cell>
        </row>
        <row r="76">
          <cell r="A76" t="str">
            <v>03980-015</v>
          </cell>
          <cell r="C76" t="str">
            <v>PLATE</v>
          </cell>
          <cell r="D76" t="str">
            <v>C S</v>
          </cell>
          <cell r="E76" t="str">
            <v>PL100x50x12t</v>
          </cell>
          <cell r="G76" t="str">
            <v>71200- 80</v>
          </cell>
          <cell r="H76">
            <v>2</v>
          </cell>
          <cell r="I76" t="str">
            <v>7150/5900</v>
          </cell>
        </row>
        <row r="77">
          <cell r="A77" t="str">
            <v>03980-015</v>
          </cell>
          <cell r="C77" t="str">
            <v>PLATE</v>
          </cell>
          <cell r="D77" t="str">
            <v>C S</v>
          </cell>
          <cell r="E77" t="str">
            <v>PL80x50x9t</v>
          </cell>
          <cell r="G77" t="str">
            <v>71200- 80</v>
          </cell>
          <cell r="H77">
            <v>2</v>
          </cell>
          <cell r="I77" t="str">
            <v>7150/5900</v>
          </cell>
        </row>
        <row r="79">
          <cell r="A79" t="str">
            <v>03980-016</v>
          </cell>
          <cell r="C79" t="str">
            <v>CHANNEL</v>
          </cell>
          <cell r="D79" t="str">
            <v>C S</v>
          </cell>
          <cell r="E79" t="str">
            <v>C100x50x5x7.5</v>
          </cell>
          <cell r="F79">
            <v>300</v>
          </cell>
          <cell r="G79" t="str">
            <v>71200- 80</v>
          </cell>
          <cell r="H79">
            <v>1</v>
          </cell>
        </row>
        <row r="80">
          <cell r="A80" t="str">
            <v>03980-016</v>
          </cell>
          <cell r="C80" t="str">
            <v>CT</v>
          </cell>
          <cell r="D80" t="str">
            <v>C S</v>
          </cell>
          <cell r="E80" t="str">
            <v>CT100x150x6x9</v>
          </cell>
          <cell r="F80">
            <v>300</v>
          </cell>
          <cell r="G80" t="str">
            <v>71200- 80</v>
          </cell>
          <cell r="H80">
            <v>1</v>
          </cell>
        </row>
        <row r="81">
          <cell r="A81" t="str">
            <v>03980-016</v>
          </cell>
          <cell r="C81" t="str">
            <v>PLATE</v>
          </cell>
          <cell r="D81" t="str">
            <v>C S</v>
          </cell>
          <cell r="E81" t="str">
            <v>PL103x70x9t</v>
          </cell>
          <cell r="G81" t="str">
            <v>71200- 80</v>
          </cell>
          <cell r="H81">
            <v>4</v>
          </cell>
          <cell r="I81" t="str">
            <v>7150/5900</v>
          </cell>
        </row>
        <row r="82">
          <cell r="A82" t="str">
            <v>03980-016</v>
          </cell>
          <cell r="C82" t="str">
            <v>PLATE</v>
          </cell>
          <cell r="D82" t="str">
            <v>C S</v>
          </cell>
          <cell r="E82" t="str">
            <v>PL100x50x12t</v>
          </cell>
          <cell r="G82" t="str">
            <v>71200- 80</v>
          </cell>
          <cell r="H82">
            <v>2</v>
          </cell>
          <cell r="I82" t="str">
            <v>7150/5900</v>
          </cell>
        </row>
        <row r="83">
          <cell r="A83" t="str">
            <v>03980-016</v>
          </cell>
          <cell r="C83" t="str">
            <v>PLATE</v>
          </cell>
          <cell r="D83" t="str">
            <v>C S</v>
          </cell>
          <cell r="E83" t="str">
            <v>PL80x50x9t</v>
          </cell>
          <cell r="G83" t="str">
            <v>71200- 80</v>
          </cell>
          <cell r="H83">
            <v>2</v>
          </cell>
          <cell r="I83" t="str">
            <v>7150/5900</v>
          </cell>
        </row>
        <row r="85">
          <cell r="A85" t="str">
            <v>03980-017</v>
          </cell>
          <cell r="C85" t="str">
            <v>H-BEAM</v>
          </cell>
          <cell r="D85" t="str">
            <v>C S</v>
          </cell>
          <cell r="E85" t="str">
            <v>H100x100x6x8</v>
          </cell>
          <cell r="F85">
            <v>290</v>
          </cell>
          <cell r="G85" t="str">
            <v>71200- 80</v>
          </cell>
          <cell r="H85">
            <v>4</v>
          </cell>
          <cell r="I85" t="str">
            <v>7150/5900</v>
          </cell>
        </row>
        <row r="86">
          <cell r="A86" t="str">
            <v>03980-017</v>
          </cell>
          <cell r="C86" t="str">
            <v>CT</v>
          </cell>
          <cell r="D86" t="str">
            <v>C S</v>
          </cell>
          <cell r="E86" t="str">
            <v>CT100x150x6x9</v>
          </cell>
          <cell r="F86">
            <v>300</v>
          </cell>
          <cell r="G86" t="str">
            <v>71200- 80</v>
          </cell>
          <cell r="H86">
            <v>4</v>
          </cell>
          <cell r="I86" t="str">
            <v>7150/5900</v>
          </cell>
        </row>
        <row r="87">
          <cell r="A87" t="str">
            <v>03980-017</v>
          </cell>
          <cell r="C87" t="str">
            <v>PLATE</v>
          </cell>
          <cell r="D87" t="str">
            <v>C S</v>
          </cell>
          <cell r="E87" t="str">
            <v>PL103x70x9t</v>
          </cell>
          <cell r="G87" t="str">
            <v>71200- 80</v>
          </cell>
          <cell r="H87">
            <v>16</v>
          </cell>
          <cell r="I87" t="str">
            <v>7150/5900</v>
          </cell>
        </row>
        <row r="88">
          <cell r="A88" t="str">
            <v>03980-017</v>
          </cell>
          <cell r="C88" t="str">
            <v>PLATE</v>
          </cell>
          <cell r="D88" t="str">
            <v>C S</v>
          </cell>
          <cell r="E88" t="str">
            <v>PL250x250x12t</v>
          </cell>
          <cell r="G88" t="str">
            <v>71200- 80</v>
          </cell>
          <cell r="H88">
            <v>4</v>
          </cell>
          <cell r="I88" t="str">
            <v>7150/5900</v>
          </cell>
        </row>
        <row r="89">
          <cell r="A89" t="str">
            <v>03980-017</v>
          </cell>
          <cell r="C89" t="str">
            <v>ANCHOR BOLT</v>
          </cell>
          <cell r="D89" t="str">
            <v>C S</v>
          </cell>
          <cell r="E89" t="str">
            <v>M12x118L</v>
          </cell>
          <cell r="G89" t="str">
            <v>71200- 80</v>
          </cell>
          <cell r="H89">
            <v>16</v>
          </cell>
          <cell r="I89" t="str">
            <v>7150/5900</v>
          </cell>
        </row>
        <row r="91">
          <cell r="A91" t="str">
            <v>03980-018</v>
          </cell>
          <cell r="C91" t="str">
            <v>H-BEAM</v>
          </cell>
          <cell r="D91" t="str">
            <v>C S</v>
          </cell>
          <cell r="E91" t="str">
            <v>H100x100x6x8</v>
          </cell>
          <cell r="F91">
            <v>270</v>
          </cell>
          <cell r="G91" t="str">
            <v>71200- 80</v>
          </cell>
          <cell r="H91">
            <v>2</v>
          </cell>
          <cell r="I91" t="str">
            <v>7150/5900</v>
          </cell>
        </row>
        <row r="92">
          <cell r="A92" t="str">
            <v>03980-018</v>
          </cell>
          <cell r="C92" t="str">
            <v>PIPE STD WT</v>
          </cell>
          <cell r="D92" t="str">
            <v>C S</v>
          </cell>
          <cell r="E92" t="str">
            <v>DN 50</v>
          </cell>
          <cell r="F92">
            <v>103</v>
          </cell>
          <cell r="G92" t="str">
            <v>71200- 80</v>
          </cell>
          <cell r="H92">
            <v>2</v>
          </cell>
          <cell r="I92" t="str">
            <v>7150/5900</v>
          </cell>
        </row>
        <row r="93">
          <cell r="A93" t="str">
            <v>03980-018</v>
          </cell>
          <cell r="C93" t="str">
            <v>PLATE</v>
          </cell>
          <cell r="D93" t="str">
            <v>C S</v>
          </cell>
          <cell r="E93" t="str">
            <v>PL110x110x6t</v>
          </cell>
          <cell r="G93" t="str">
            <v>71200- 80</v>
          </cell>
          <cell r="H93">
            <v>2</v>
          </cell>
          <cell r="I93" t="str">
            <v>7150/5900</v>
          </cell>
        </row>
        <row r="94">
          <cell r="A94" t="str">
            <v>03980-018</v>
          </cell>
          <cell r="C94" t="str">
            <v>PLATE</v>
          </cell>
          <cell r="D94" t="str">
            <v>C S</v>
          </cell>
          <cell r="E94" t="str">
            <v>PL250x250x12t</v>
          </cell>
          <cell r="G94" t="str">
            <v>71200- 80</v>
          </cell>
          <cell r="H94">
            <v>2</v>
          </cell>
          <cell r="I94" t="str">
            <v>7150/5900</v>
          </cell>
        </row>
        <row r="95">
          <cell r="A95" t="str">
            <v>03980-018</v>
          </cell>
          <cell r="C95" t="str">
            <v>ANCHOR BOLT</v>
          </cell>
          <cell r="D95" t="str">
            <v>C S</v>
          </cell>
          <cell r="E95" t="str">
            <v>M12x118L</v>
          </cell>
          <cell r="G95" t="str">
            <v>71200- 80</v>
          </cell>
          <cell r="H95">
            <v>8</v>
          </cell>
          <cell r="I95" t="str">
            <v>7150/5900</v>
          </cell>
        </row>
        <row r="97">
          <cell r="A97" t="str">
            <v>03980-019</v>
          </cell>
          <cell r="C97" t="str">
            <v>H-BEAM</v>
          </cell>
          <cell r="D97" t="str">
            <v>C S</v>
          </cell>
          <cell r="E97" t="str">
            <v>H100x100x6x8</v>
          </cell>
          <cell r="F97">
            <v>340</v>
          </cell>
          <cell r="G97" t="str">
            <v>71200- 80</v>
          </cell>
          <cell r="H97">
            <v>2</v>
          </cell>
          <cell r="I97" t="str">
            <v>7150/5900</v>
          </cell>
        </row>
        <row r="98">
          <cell r="A98" t="str">
            <v>03980-019</v>
          </cell>
          <cell r="C98" t="str">
            <v>CT</v>
          </cell>
          <cell r="D98" t="str">
            <v>C S</v>
          </cell>
          <cell r="E98" t="str">
            <v>CT100x150x6x9</v>
          </cell>
          <cell r="F98">
            <v>300</v>
          </cell>
          <cell r="G98" t="str">
            <v>71200- 80</v>
          </cell>
          <cell r="H98">
            <v>2</v>
          </cell>
          <cell r="I98" t="str">
            <v>7150/5900</v>
          </cell>
        </row>
        <row r="99">
          <cell r="A99" t="str">
            <v>03980-019</v>
          </cell>
          <cell r="C99" t="str">
            <v>PLATE</v>
          </cell>
          <cell r="D99" t="str">
            <v>C S</v>
          </cell>
          <cell r="E99" t="str">
            <v>PL103x70x9t</v>
          </cell>
          <cell r="G99" t="str">
            <v>71200- 80</v>
          </cell>
          <cell r="H99">
            <v>8</v>
          </cell>
          <cell r="I99" t="str">
            <v>7150/5900</v>
          </cell>
        </row>
        <row r="100">
          <cell r="A100" t="str">
            <v>03980-019</v>
          </cell>
          <cell r="C100" t="str">
            <v>PLATE</v>
          </cell>
          <cell r="D100" t="str">
            <v>C S</v>
          </cell>
          <cell r="E100" t="str">
            <v>PL250x250x12t</v>
          </cell>
          <cell r="G100" t="str">
            <v>71200- 80</v>
          </cell>
          <cell r="H100">
            <v>2</v>
          </cell>
          <cell r="I100" t="str">
            <v>7150/5900</v>
          </cell>
        </row>
        <row r="101">
          <cell r="A101" t="str">
            <v>03980-019</v>
          </cell>
          <cell r="C101" t="str">
            <v>ANCHOR BOLT</v>
          </cell>
          <cell r="D101" t="str">
            <v>C S</v>
          </cell>
          <cell r="E101" t="str">
            <v>M12x118L</v>
          </cell>
          <cell r="G101" t="str">
            <v>71200- 80</v>
          </cell>
          <cell r="H101">
            <v>8</v>
          </cell>
          <cell r="I101" t="str">
            <v>7150/5900</v>
          </cell>
        </row>
        <row r="102">
          <cell r="A102" t="str">
            <v>03980-019</v>
          </cell>
          <cell r="C102" t="str">
            <v>PLATE</v>
          </cell>
          <cell r="D102" t="str">
            <v>C S</v>
          </cell>
          <cell r="E102" t="str">
            <v>PL100x50x12t</v>
          </cell>
          <cell r="G102" t="str">
            <v>71200- 80</v>
          </cell>
          <cell r="H102">
            <v>4</v>
          </cell>
          <cell r="I102" t="str">
            <v>7150/5900</v>
          </cell>
        </row>
        <row r="103">
          <cell r="A103" t="str">
            <v>03980-019</v>
          </cell>
          <cell r="C103" t="str">
            <v>PLATE</v>
          </cell>
          <cell r="D103" t="str">
            <v>C S</v>
          </cell>
          <cell r="E103" t="str">
            <v>PL80x50x9t</v>
          </cell>
          <cell r="G103" t="str">
            <v>71200- 80</v>
          </cell>
          <cell r="H103">
            <v>4</v>
          </cell>
          <cell r="I103" t="str">
            <v>7150/5900</v>
          </cell>
        </row>
        <row r="105">
          <cell r="A105" t="str">
            <v>03980-020</v>
          </cell>
          <cell r="C105" t="str">
            <v>H-BEAM</v>
          </cell>
          <cell r="D105" t="str">
            <v>C S</v>
          </cell>
          <cell r="E105" t="str">
            <v>H100x100x6x8</v>
          </cell>
          <cell r="F105">
            <v>600</v>
          </cell>
          <cell r="G105" t="str">
            <v>71200- 80</v>
          </cell>
          <cell r="H105">
            <v>1</v>
          </cell>
          <cell r="I105" t="str">
            <v>7150/5900</v>
          </cell>
        </row>
        <row r="106">
          <cell r="A106" t="str">
            <v>03980-020</v>
          </cell>
          <cell r="C106" t="str">
            <v>CT</v>
          </cell>
          <cell r="D106" t="str">
            <v>C S</v>
          </cell>
          <cell r="E106" t="str">
            <v>CT100x150x6x9</v>
          </cell>
          <cell r="F106">
            <v>300</v>
          </cell>
          <cell r="G106" t="str">
            <v>71200- 80</v>
          </cell>
          <cell r="H106">
            <v>1</v>
          </cell>
          <cell r="I106" t="str">
            <v>7150/5900</v>
          </cell>
        </row>
        <row r="107">
          <cell r="A107" t="str">
            <v>03980-020</v>
          </cell>
          <cell r="C107" t="str">
            <v>PLATE</v>
          </cell>
          <cell r="D107" t="str">
            <v>C S</v>
          </cell>
          <cell r="E107" t="str">
            <v>PL103x70x9t</v>
          </cell>
          <cell r="G107" t="str">
            <v>71200- 80</v>
          </cell>
          <cell r="H107">
            <v>4</v>
          </cell>
          <cell r="I107" t="str">
            <v>7150/5900</v>
          </cell>
        </row>
        <row r="108">
          <cell r="A108" t="str">
            <v>03980-020</v>
          </cell>
          <cell r="C108" t="str">
            <v>PLATE</v>
          </cell>
          <cell r="D108" t="str">
            <v>C S</v>
          </cell>
          <cell r="E108" t="str">
            <v>PL100x50x12t</v>
          </cell>
          <cell r="G108" t="str">
            <v>71200- 80</v>
          </cell>
          <cell r="H108">
            <v>2</v>
          </cell>
          <cell r="I108" t="str">
            <v>7150/5900</v>
          </cell>
        </row>
        <row r="109">
          <cell r="A109" t="str">
            <v>03980-020</v>
          </cell>
          <cell r="C109" t="str">
            <v>PLATE</v>
          </cell>
          <cell r="D109" t="str">
            <v>C S</v>
          </cell>
          <cell r="E109" t="str">
            <v>PL80x50x9t</v>
          </cell>
          <cell r="G109" t="str">
            <v>71200- 80</v>
          </cell>
          <cell r="H109">
            <v>2</v>
          </cell>
          <cell r="I109" t="str">
            <v>7150/5900</v>
          </cell>
        </row>
        <row r="111">
          <cell r="A111" t="str">
            <v>03980-021</v>
          </cell>
          <cell r="C111" t="str">
            <v>ANGLE</v>
          </cell>
          <cell r="D111" t="str">
            <v>C S</v>
          </cell>
          <cell r="E111" t="str">
            <v>L100x100x10</v>
          </cell>
          <cell r="F111">
            <v>270</v>
          </cell>
          <cell r="G111" t="str">
            <v>71200- 80</v>
          </cell>
          <cell r="H111">
            <v>1</v>
          </cell>
          <cell r="I111" t="str">
            <v>7150/5900</v>
          </cell>
        </row>
        <row r="112">
          <cell r="A112" t="str">
            <v>03980-021</v>
          </cell>
          <cell r="C112" t="str">
            <v>ANGLE</v>
          </cell>
          <cell r="D112" t="str">
            <v>C S</v>
          </cell>
          <cell r="E112" t="str">
            <v>L100x100x10</v>
          </cell>
          <cell r="F112">
            <v>200</v>
          </cell>
          <cell r="G112" t="str">
            <v>71200- 80</v>
          </cell>
          <cell r="H112">
            <v>1</v>
          </cell>
          <cell r="I112" t="str">
            <v>7150/5900</v>
          </cell>
        </row>
        <row r="113">
          <cell r="A113" t="str">
            <v>03980-021</v>
          </cell>
          <cell r="C113" t="str">
            <v>CT</v>
          </cell>
          <cell r="D113" t="str">
            <v>C S</v>
          </cell>
          <cell r="E113" t="str">
            <v>CT100x150x6x9</v>
          </cell>
          <cell r="F113">
            <v>300</v>
          </cell>
          <cell r="G113" t="str">
            <v>71200- 80</v>
          </cell>
          <cell r="H113">
            <v>1</v>
          </cell>
          <cell r="I113" t="str">
            <v>7150/5900</v>
          </cell>
        </row>
        <row r="114">
          <cell r="A114" t="str">
            <v>03980-021</v>
          </cell>
          <cell r="C114" t="str">
            <v>PLATE</v>
          </cell>
          <cell r="D114" t="str">
            <v>C S</v>
          </cell>
          <cell r="E114" t="str">
            <v>PL103x70x9t</v>
          </cell>
          <cell r="G114" t="str">
            <v>71200- 80</v>
          </cell>
          <cell r="H114">
            <v>4</v>
          </cell>
          <cell r="I114" t="str">
            <v>7150/5900</v>
          </cell>
        </row>
        <row r="115">
          <cell r="A115" t="str">
            <v>03980-021</v>
          </cell>
          <cell r="C115" t="str">
            <v>PLATE</v>
          </cell>
          <cell r="D115" t="str">
            <v>C S</v>
          </cell>
          <cell r="E115" t="str">
            <v>PL250x250x12t</v>
          </cell>
          <cell r="G115" t="str">
            <v>71200- 80</v>
          </cell>
          <cell r="H115">
            <v>1</v>
          </cell>
          <cell r="I115" t="str">
            <v>7150/5900</v>
          </cell>
        </row>
        <row r="116">
          <cell r="A116" t="str">
            <v>03980-021</v>
          </cell>
          <cell r="C116" t="str">
            <v>ANCHOR BOLT</v>
          </cell>
          <cell r="D116" t="str">
            <v>C S</v>
          </cell>
          <cell r="E116" t="str">
            <v>M12x118L</v>
          </cell>
          <cell r="G116" t="str">
            <v>71200- 80</v>
          </cell>
          <cell r="H116">
            <v>4</v>
          </cell>
          <cell r="I116" t="str">
            <v>7150/5900</v>
          </cell>
        </row>
        <row r="118">
          <cell r="A118" t="str">
            <v>03980-022</v>
          </cell>
          <cell r="C118" t="str">
            <v>CT</v>
          </cell>
          <cell r="D118" t="str">
            <v>C S</v>
          </cell>
          <cell r="E118" t="str">
            <v>CT100x150x6x9</v>
          </cell>
          <cell r="F118">
            <v>300</v>
          </cell>
          <cell r="G118" t="str">
            <v>71200- 80</v>
          </cell>
          <cell r="H118">
            <v>1</v>
          </cell>
          <cell r="I118" t="str">
            <v>7150/5900</v>
          </cell>
        </row>
        <row r="119">
          <cell r="A119" t="str">
            <v>03980-022</v>
          </cell>
          <cell r="C119" t="str">
            <v>PLATE</v>
          </cell>
          <cell r="D119" t="str">
            <v>C S</v>
          </cell>
          <cell r="E119" t="str">
            <v>PL103x70x9t</v>
          </cell>
          <cell r="G119" t="str">
            <v>71200- 80</v>
          </cell>
          <cell r="H119">
            <v>4</v>
          </cell>
          <cell r="I119" t="str">
            <v>7150/5900</v>
          </cell>
        </row>
        <row r="120">
          <cell r="A120" t="str">
            <v>03980-022</v>
          </cell>
          <cell r="C120" t="str">
            <v>PLATE</v>
          </cell>
          <cell r="D120" t="str">
            <v>C S</v>
          </cell>
          <cell r="E120" t="str">
            <v>PL100x50x12t</v>
          </cell>
          <cell r="G120" t="str">
            <v>71200- 80</v>
          </cell>
          <cell r="H120">
            <v>2</v>
          </cell>
          <cell r="I120" t="str">
            <v>7150/5900</v>
          </cell>
        </row>
        <row r="121">
          <cell r="A121" t="str">
            <v>03980-022</v>
          </cell>
          <cell r="C121" t="str">
            <v>PLATE</v>
          </cell>
          <cell r="D121" t="str">
            <v>C S</v>
          </cell>
          <cell r="E121" t="str">
            <v>PL80x50x9t</v>
          </cell>
          <cell r="G121" t="str">
            <v>71200- 80</v>
          </cell>
          <cell r="H121">
            <v>2</v>
          </cell>
          <cell r="I121" t="str">
            <v>7150/5900</v>
          </cell>
        </row>
        <row r="123">
          <cell r="A123" t="str">
            <v>03980-023</v>
          </cell>
          <cell r="C123" t="str">
            <v>CT</v>
          </cell>
          <cell r="D123" t="str">
            <v>C S</v>
          </cell>
          <cell r="E123" t="str">
            <v>CT100x150x6x9</v>
          </cell>
          <cell r="F123">
            <v>300</v>
          </cell>
          <cell r="G123" t="str">
            <v>71200- 80</v>
          </cell>
          <cell r="H123">
            <v>1</v>
          </cell>
          <cell r="I123" t="str">
            <v>7150/5900</v>
          </cell>
        </row>
        <row r="124">
          <cell r="A124" t="str">
            <v>03980-023</v>
          </cell>
          <cell r="C124" t="str">
            <v>PLATE</v>
          </cell>
          <cell r="D124" t="str">
            <v>C S</v>
          </cell>
          <cell r="E124" t="str">
            <v>PL103x70x9t</v>
          </cell>
          <cell r="G124" t="str">
            <v>71200- 80</v>
          </cell>
          <cell r="H124">
            <v>4</v>
          </cell>
          <cell r="I124" t="str">
            <v>7150/5900</v>
          </cell>
        </row>
        <row r="126">
          <cell r="A126" t="str">
            <v>03980-024</v>
          </cell>
          <cell r="C126" t="str">
            <v>H-BEAM</v>
          </cell>
          <cell r="D126" t="str">
            <v>C S</v>
          </cell>
          <cell r="E126" t="str">
            <v>H100x100x6x8</v>
          </cell>
          <cell r="F126">
            <v>1385</v>
          </cell>
          <cell r="G126" t="str">
            <v>16200-150</v>
          </cell>
          <cell r="H126">
            <v>1</v>
          </cell>
          <cell r="I126" t="str">
            <v>7150/5900</v>
          </cell>
        </row>
        <row r="127">
          <cell r="A127" t="str">
            <v>03980-024</v>
          </cell>
          <cell r="C127" t="str">
            <v>CLIP ANGLE</v>
          </cell>
          <cell r="D127" t="str">
            <v>C S</v>
          </cell>
          <cell r="E127" t="str">
            <v>L75x75x9</v>
          </cell>
          <cell r="F127">
            <v>50</v>
          </cell>
          <cell r="G127" t="str">
            <v>16200-150</v>
          </cell>
          <cell r="H127">
            <v>2</v>
          </cell>
          <cell r="I127" t="str">
            <v>7150/5900</v>
          </cell>
        </row>
        <row r="128">
          <cell r="A128" t="str">
            <v>03980-024</v>
          </cell>
          <cell r="C128" t="str">
            <v>U-BOLT</v>
          </cell>
          <cell r="D128" t="str">
            <v>C S</v>
          </cell>
          <cell r="E128" t="str">
            <v>DN150</v>
          </cell>
          <cell r="G128" t="str">
            <v>16200-150</v>
          </cell>
          <cell r="H128">
            <v>1</v>
          </cell>
          <cell r="I128" t="str">
            <v>7150/5900</v>
          </cell>
        </row>
        <row r="129">
          <cell r="A129" t="str">
            <v>03980-024</v>
          </cell>
          <cell r="C129" t="str">
            <v>U-BOLT</v>
          </cell>
          <cell r="D129" t="str">
            <v>C S</v>
          </cell>
          <cell r="E129" t="str">
            <v>DN 80</v>
          </cell>
          <cell r="G129" t="str">
            <v>16200- 80</v>
          </cell>
          <cell r="H129">
            <v>1</v>
          </cell>
          <cell r="I129" t="str">
            <v>7150/5900</v>
          </cell>
        </row>
        <row r="131">
          <cell r="A131" t="str">
            <v>03980-025</v>
          </cell>
          <cell r="C131" t="str">
            <v>H-BEAM</v>
          </cell>
          <cell r="D131" t="str">
            <v>C S</v>
          </cell>
          <cell r="E131" t="str">
            <v>H100x100x6x8</v>
          </cell>
          <cell r="F131">
            <v>1385</v>
          </cell>
          <cell r="G131" t="str">
            <v>16320-100</v>
          </cell>
          <cell r="H131">
            <v>1</v>
          </cell>
          <cell r="I131" t="str">
            <v>7150/5900</v>
          </cell>
        </row>
        <row r="132">
          <cell r="A132" t="str">
            <v>03980-025</v>
          </cell>
          <cell r="C132" t="str">
            <v>CLIP ANGLE</v>
          </cell>
          <cell r="D132" t="str">
            <v>C S</v>
          </cell>
          <cell r="E132" t="str">
            <v>L75x75x9</v>
          </cell>
          <cell r="F132">
            <v>50</v>
          </cell>
          <cell r="G132" t="str">
            <v>16320-100</v>
          </cell>
          <cell r="H132">
            <v>2</v>
          </cell>
          <cell r="I132" t="str">
            <v>7150/5900</v>
          </cell>
        </row>
        <row r="134">
          <cell r="A134" t="str">
            <v>03980-026</v>
          </cell>
          <cell r="C134" t="str">
            <v>H-BEAM</v>
          </cell>
          <cell r="D134" t="str">
            <v>C S</v>
          </cell>
          <cell r="E134" t="str">
            <v>H100x100x6x8</v>
          </cell>
          <cell r="F134">
            <v>1385</v>
          </cell>
          <cell r="G134" t="str">
            <v>16200-100</v>
          </cell>
          <cell r="H134">
            <v>1</v>
          </cell>
          <cell r="I134" t="str">
            <v>7150/5900</v>
          </cell>
        </row>
        <row r="135">
          <cell r="A135" t="str">
            <v>03980-026</v>
          </cell>
          <cell r="C135" t="str">
            <v>CLIP ANGLE</v>
          </cell>
          <cell r="D135" t="str">
            <v>C S</v>
          </cell>
          <cell r="E135" t="str">
            <v>L75x75x9</v>
          </cell>
          <cell r="F135">
            <v>50</v>
          </cell>
          <cell r="G135" t="str">
            <v>16200-100</v>
          </cell>
          <cell r="H135">
            <v>2</v>
          </cell>
          <cell r="I135" t="str">
            <v>7150/5900</v>
          </cell>
        </row>
        <row r="136">
          <cell r="A136" t="str">
            <v>03980-026</v>
          </cell>
          <cell r="C136" t="str">
            <v>U-BOLT</v>
          </cell>
          <cell r="D136" t="str">
            <v>C S</v>
          </cell>
          <cell r="E136" t="str">
            <v>DN100</v>
          </cell>
          <cell r="G136" t="str">
            <v>16200-100</v>
          </cell>
          <cell r="H136">
            <v>1</v>
          </cell>
          <cell r="I136" t="str">
            <v>7150/5900</v>
          </cell>
        </row>
        <row r="137">
          <cell r="A137" t="str">
            <v>03980-026</v>
          </cell>
          <cell r="C137" t="str">
            <v>U-BOLT</v>
          </cell>
          <cell r="D137" t="str">
            <v>C S</v>
          </cell>
          <cell r="E137" t="str">
            <v>DN100</v>
          </cell>
          <cell r="G137" t="str">
            <v>16320-100</v>
          </cell>
          <cell r="H137">
            <v>1</v>
          </cell>
          <cell r="I137" t="str">
            <v>7150/5900</v>
          </cell>
        </row>
        <row r="139">
          <cell r="A139" t="str">
            <v>03980-027</v>
          </cell>
          <cell r="C139" t="str">
            <v>H-BEAM</v>
          </cell>
          <cell r="D139" t="str">
            <v>C S</v>
          </cell>
          <cell r="E139" t="str">
            <v>H100x100x6x8</v>
          </cell>
          <cell r="F139">
            <v>1385</v>
          </cell>
          <cell r="G139" t="str">
            <v>16100-100</v>
          </cell>
          <cell r="H139">
            <v>1</v>
          </cell>
          <cell r="I139" t="str">
            <v>7150/5900</v>
          </cell>
        </row>
        <row r="140">
          <cell r="A140" t="str">
            <v>03980-027</v>
          </cell>
          <cell r="C140" t="str">
            <v>CLIP ANGLE</v>
          </cell>
          <cell r="D140" t="str">
            <v>C S</v>
          </cell>
          <cell r="E140" t="str">
            <v>L75x75x9</v>
          </cell>
          <cell r="F140">
            <v>50</v>
          </cell>
          <cell r="G140" t="str">
            <v>16100-100</v>
          </cell>
          <cell r="H140">
            <v>2</v>
          </cell>
          <cell r="I140" t="str">
            <v>7150/5900</v>
          </cell>
        </row>
        <row r="142">
          <cell r="A142" t="str">
            <v>03980-028</v>
          </cell>
          <cell r="C142" t="str">
            <v>H-BEAM</v>
          </cell>
          <cell r="D142" t="str">
            <v>C S</v>
          </cell>
          <cell r="E142" t="str">
            <v>H100x100x6x8</v>
          </cell>
          <cell r="F142">
            <v>1385</v>
          </cell>
          <cell r="G142" t="str">
            <v>16100-150</v>
          </cell>
          <cell r="H142">
            <v>1</v>
          </cell>
          <cell r="I142" t="str">
            <v>7150/5900</v>
          </cell>
        </row>
        <row r="143">
          <cell r="A143" t="str">
            <v>03980-028</v>
          </cell>
          <cell r="C143" t="str">
            <v>CLIP ANGLE</v>
          </cell>
          <cell r="D143" t="str">
            <v>C S</v>
          </cell>
          <cell r="E143" t="str">
            <v>L75x75x9</v>
          </cell>
          <cell r="F143">
            <v>50</v>
          </cell>
          <cell r="G143" t="str">
            <v>16100-150</v>
          </cell>
          <cell r="H143">
            <v>2</v>
          </cell>
          <cell r="I143" t="str">
            <v>7150/5900</v>
          </cell>
        </row>
        <row r="144">
          <cell r="A144" t="str">
            <v>03980-028</v>
          </cell>
          <cell r="C144" t="str">
            <v>U-BOLT</v>
          </cell>
          <cell r="D144" t="str">
            <v>C S</v>
          </cell>
          <cell r="E144" t="str">
            <v>DN150</v>
          </cell>
          <cell r="G144" t="str">
            <v>16100-150</v>
          </cell>
          <cell r="H144">
            <v>1</v>
          </cell>
          <cell r="I144" t="str">
            <v>7150/5900</v>
          </cell>
        </row>
        <row r="145">
          <cell r="A145" t="str">
            <v>03980-028</v>
          </cell>
          <cell r="C145" t="str">
            <v>U-BOLT</v>
          </cell>
          <cell r="D145" t="str">
            <v>C S</v>
          </cell>
          <cell r="E145" t="str">
            <v>DN100</v>
          </cell>
          <cell r="G145" t="str">
            <v>16200-100</v>
          </cell>
          <cell r="H145">
            <v>1</v>
          </cell>
          <cell r="I145" t="str">
            <v>7150/5900</v>
          </cell>
        </row>
        <row r="146">
          <cell r="A146" t="str">
            <v>03980-028</v>
          </cell>
          <cell r="C146" t="str">
            <v>U-BOLT</v>
          </cell>
          <cell r="D146" t="str">
            <v>C S</v>
          </cell>
          <cell r="E146" t="str">
            <v>DN100</v>
          </cell>
          <cell r="G146" t="str">
            <v>16100-100</v>
          </cell>
          <cell r="H146">
            <v>1</v>
          </cell>
          <cell r="I146" t="str">
            <v>7150/5900</v>
          </cell>
        </row>
        <row r="148">
          <cell r="A148" t="str">
            <v>03980-029</v>
          </cell>
          <cell r="C148" t="str">
            <v>H-BEAM</v>
          </cell>
          <cell r="D148" t="str">
            <v>C S</v>
          </cell>
          <cell r="E148" t="str">
            <v>H100x100x6x8</v>
          </cell>
          <cell r="F148">
            <v>1780</v>
          </cell>
          <cell r="G148" t="str">
            <v>16100-150</v>
          </cell>
          <cell r="H148">
            <v>1</v>
          </cell>
          <cell r="I148" t="str">
            <v>7150/5900</v>
          </cell>
        </row>
        <row r="149">
          <cell r="A149" t="str">
            <v>03980-029</v>
          </cell>
          <cell r="C149" t="str">
            <v>CLIP ANGLE</v>
          </cell>
          <cell r="D149" t="str">
            <v>C S</v>
          </cell>
          <cell r="E149" t="str">
            <v>L75x75x9</v>
          </cell>
          <cell r="F149">
            <v>50</v>
          </cell>
          <cell r="G149" t="str">
            <v>16100-150</v>
          </cell>
          <cell r="H149">
            <v>2</v>
          </cell>
          <cell r="I149" t="str">
            <v>7150/5900</v>
          </cell>
        </row>
        <row r="151">
          <cell r="A151" t="str">
            <v>03980-030</v>
          </cell>
          <cell r="C151" t="str">
            <v>H-BEAM</v>
          </cell>
          <cell r="D151" t="str">
            <v>C S</v>
          </cell>
          <cell r="E151" t="str">
            <v>H100x100x6x8</v>
          </cell>
          <cell r="F151">
            <v>1385</v>
          </cell>
          <cell r="G151" t="str">
            <v>16200-100</v>
          </cell>
          <cell r="H151">
            <v>1</v>
          </cell>
          <cell r="I151" t="str">
            <v>7150/5900</v>
          </cell>
        </row>
        <row r="152">
          <cell r="A152" t="str">
            <v>03980-030</v>
          </cell>
          <cell r="C152" t="str">
            <v>CLIP ANGLE</v>
          </cell>
          <cell r="D152" t="str">
            <v>C S</v>
          </cell>
          <cell r="E152" t="str">
            <v>L75x75x9</v>
          </cell>
          <cell r="F152">
            <v>50</v>
          </cell>
          <cell r="G152" t="str">
            <v>16200-100</v>
          </cell>
          <cell r="H152">
            <v>2</v>
          </cell>
          <cell r="I152" t="str">
            <v>7150/5900</v>
          </cell>
        </row>
        <row r="154">
          <cell r="A154" t="str">
            <v>03980-031</v>
          </cell>
          <cell r="C154" t="str">
            <v>H-BEAM</v>
          </cell>
          <cell r="D154" t="str">
            <v>C S</v>
          </cell>
          <cell r="E154" t="str">
            <v>H100x100x6x8</v>
          </cell>
          <cell r="F154">
            <v>700</v>
          </cell>
          <cell r="G154" t="str">
            <v>16200-100</v>
          </cell>
          <cell r="H154">
            <v>1</v>
          </cell>
          <cell r="I154" t="str">
            <v>7150/5900</v>
          </cell>
        </row>
        <row r="156">
          <cell r="A156" t="str">
            <v>03980-032</v>
          </cell>
          <cell r="C156" t="str">
            <v>U-BOLT</v>
          </cell>
          <cell r="D156" t="str">
            <v>C S</v>
          </cell>
          <cell r="E156" t="str">
            <v>DN100</v>
          </cell>
          <cell r="G156" t="str">
            <v>16320-100</v>
          </cell>
          <cell r="H156">
            <v>1</v>
          </cell>
          <cell r="I156" t="str">
            <v>7150/5900</v>
          </cell>
        </row>
        <row r="157">
          <cell r="A157" t="str">
            <v>03980-032</v>
          </cell>
          <cell r="C157" t="str">
            <v>ANGLE</v>
          </cell>
          <cell r="D157" t="str">
            <v>C S</v>
          </cell>
          <cell r="E157" t="str">
            <v>L75x75x9</v>
          </cell>
          <cell r="F157">
            <v>527</v>
          </cell>
          <cell r="G157" t="str">
            <v>16320-100</v>
          </cell>
          <cell r="H157">
            <v>1</v>
          </cell>
          <cell r="I157" t="str">
            <v>7150/5900</v>
          </cell>
        </row>
        <row r="158">
          <cell r="A158" t="str">
            <v>03980-032</v>
          </cell>
          <cell r="C158" t="str">
            <v>PLATE</v>
          </cell>
          <cell r="D158" t="str">
            <v>C S</v>
          </cell>
          <cell r="E158" t="str">
            <v>PL200x200x12t</v>
          </cell>
          <cell r="G158" t="str">
            <v>16320-100</v>
          </cell>
          <cell r="H158">
            <v>1</v>
          </cell>
          <cell r="I158" t="str">
            <v>7150/5900</v>
          </cell>
        </row>
        <row r="159">
          <cell r="A159" t="str">
            <v>03980-032</v>
          </cell>
          <cell r="C159" t="str">
            <v>ANCHOR BOLT</v>
          </cell>
          <cell r="D159" t="str">
            <v>C S</v>
          </cell>
          <cell r="E159" t="str">
            <v>M12x155L</v>
          </cell>
          <cell r="G159" t="str">
            <v>16320-100</v>
          </cell>
          <cell r="H159">
            <v>4</v>
          </cell>
          <cell r="I159" t="str">
            <v>7150/5900</v>
          </cell>
        </row>
        <row r="161">
          <cell r="A161" t="str">
            <v>03980-033</v>
          </cell>
          <cell r="C161" t="str">
            <v>CHANNEL</v>
          </cell>
          <cell r="D161" t="str">
            <v>C S</v>
          </cell>
          <cell r="E161" t="str">
            <v>C100x50x5x7.5</v>
          </cell>
          <cell r="F161">
            <v>500</v>
          </cell>
          <cell r="G161" t="str">
            <v>16200- 80</v>
          </cell>
          <cell r="H161">
            <v>1</v>
          </cell>
        </row>
        <row r="162">
          <cell r="A162" t="str">
            <v>03980-033</v>
          </cell>
          <cell r="C162" t="str">
            <v>3-BOLT PIPE CLAMP</v>
          </cell>
          <cell r="D162" t="str">
            <v>C S</v>
          </cell>
          <cell r="E162" t="str">
            <v>DN 80</v>
          </cell>
          <cell r="G162" t="str">
            <v>16200- 80</v>
          </cell>
          <cell r="H162">
            <v>1</v>
          </cell>
          <cell r="I162" t="str">
            <v>7150/5900</v>
          </cell>
        </row>
        <row r="163">
          <cell r="A163" t="str">
            <v>03980-033</v>
          </cell>
          <cell r="C163" t="str">
            <v>WEL'D BEAM ATTACH.</v>
          </cell>
          <cell r="D163" t="str">
            <v>C S</v>
          </cell>
          <cell r="E163" t="str">
            <v>M12</v>
          </cell>
          <cell r="G163" t="str">
            <v>16200- 80</v>
          </cell>
          <cell r="H163">
            <v>1</v>
          </cell>
          <cell r="I163" t="str">
            <v>7150/5900</v>
          </cell>
        </row>
        <row r="164">
          <cell r="A164" t="str">
            <v>03980-033</v>
          </cell>
          <cell r="C164" t="str">
            <v>EYE NUT</v>
          </cell>
          <cell r="D164" t="str">
            <v>C S</v>
          </cell>
          <cell r="E164" t="str">
            <v>M12</v>
          </cell>
          <cell r="G164" t="str">
            <v>16200- 80</v>
          </cell>
          <cell r="H164">
            <v>2</v>
          </cell>
          <cell r="I164" t="str">
            <v>7150/5900</v>
          </cell>
        </row>
        <row r="165">
          <cell r="A165" t="str">
            <v>03980-033</v>
          </cell>
          <cell r="C165" t="str">
            <v>THR'D ROD</v>
          </cell>
          <cell r="D165" t="str">
            <v>C S</v>
          </cell>
          <cell r="E165" t="str">
            <v>M12</v>
          </cell>
          <cell r="F165">
            <v>360</v>
          </cell>
          <cell r="G165" t="str">
            <v>16200- 80</v>
          </cell>
          <cell r="H165">
            <v>1</v>
          </cell>
          <cell r="I165" t="str">
            <v>7150/5900</v>
          </cell>
        </row>
        <row r="166">
          <cell r="A166" t="str">
            <v>03980-033</v>
          </cell>
          <cell r="C166" t="str">
            <v>PLATE</v>
          </cell>
          <cell r="D166" t="str">
            <v>C S</v>
          </cell>
          <cell r="E166" t="str">
            <v>PL200x200x12t</v>
          </cell>
          <cell r="G166" t="str">
            <v>16200- 80</v>
          </cell>
          <cell r="H166">
            <v>1</v>
          </cell>
          <cell r="I166" t="str">
            <v>7150/5900</v>
          </cell>
        </row>
        <row r="167">
          <cell r="A167" t="str">
            <v>03980-033</v>
          </cell>
          <cell r="C167" t="str">
            <v>ANCHOR BOLT</v>
          </cell>
          <cell r="D167" t="str">
            <v>C S</v>
          </cell>
          <cell r="E167" t="str">
            <v>M12x155L</v>
          </cell>
          <cell r="G167" t="str">
            <v>16200- 80</v>
          </cell>
          <cell r="H167">
            <v>4</v>
          </cell>
          <cell r="I167" t="str">
            <v>7150/5900</v>
          </cell>
        </row>
        <row r="169">
          <cell r="A169" t="str">
            <v>03980-034</v>
          </cell>
          <cell r="C169" t="str">
            <v>U-BOLT</v>
          </cell>
          <cell r="D169" t="str">
            <v>C S</v>
          </cell>
          <cell r="E169" t="str">
            <v>DN100</v>
          </cell>
          <cell r="G169" t="str">
            <v>16320-100</v>
          </cell>
          <cell r="H169">
            <v>1</v>
          </cell>
          <cell r="I169" t="str">
            <v>7150/5900</v>
          </cell>
        </row>
        <row r="170">
          <cell r="A170" t="str">
            <v>03980-034</v>
          </cell>
          <cell r="C170" t="str">
            <v>ANGLE</v>
          </cell>
          <cell r="D170" t="str">
            <v>C S</v>
          </cell>
          <cell r="E170" t="str">
            <v>L75x75x9</v>
          </cell>
          <cell r="F170">
            <v>514</v>
          </cell>
          <cell r="G170" t="str">
            <v>16320-100</v>
          </cell>
          <cell r="H170">
            <v>1</v>
          </cell>
          <cell r="I170" t="str">
            <v>7150/5900</v>
          </cell>
        </row>
        <row r="171">
          <cell r="A171" t="str">
            <v>03980-034</v>
          </cell>
          <cell r="C171" t="str">
            <v>PLATE</v>
          </cell>
          <cell r="D171" t="str">
            <v>C S</v>
          </cell>
          <cell r="E171" t="str">
            <v>PL200x200x12t</v>
          </cell>
          <cell r="G171" t="str">
            <v>16320-100</v>
          </cell>
          <cell r="H171">
            <v>1</v>
          </cell>
          <cell r="I171" t="str">
            <v>7150/5900</v>
          </cell>
        </row>
        <row r="172">
          <cell r="A172" t="str">
            <v>03980-034</v>
          </cell>
          <cell r="C172" t="str">
            <v>ANCHOR BOLT</v>
          </cell>
          <cell r="D172" t="str">
            <v>C S</v>
          </cell>
          <cell r="E172" t="str">
            <v>M12x155L</v>
          </cell>
          <cell r="G172" t="str">
            <v>16320-100</v>
          </cell>
          <cell r="H172">
            <v>4</v>
          </cell>
          <cell r="I172" t="str">
            <v>7150/5900</v>
          </cell>
        </row>
        <row r="174">
          <cell r="A174" t="str">
            <v>03980-035</v>
          </cell>
          <cell r="C174" t="str">
            <v>H-BEAM</v>
          </cell>
          <cell r="D174" t="str">
            <v>C S</v>
          </cell>
          <cell r="E174" t="str">
            <v>H100x100x6x8</v>
          </cell>
          <cell r="F174">
            <v>462</v>
          </cell>
          <cell r="G174" t="str">
            <v>16100-150</v>
          </cell>
          <cell r="H174">
            <v>1</v>
          </cell>
          <cell r="I174" t="str">
            <v>7150/5900</v>
          </cell>
        </row>
        <row r="175">
          <cell r="A175" t="str">
            <v>03980-035</v>
          </cell>
          <cell r="C175" t="str">
            <v>ANGLE</v>
          </cell>
          <cell r="D175" t="str">
            <v>C S</v>
          </cell>
          <cell r="E175" t="str">
            <v>L75x75x9</v>
          </cell>
          <cell r="F175">
            <v>330</v>
          </cell>
          <cell r="G175" t="str">
            <v>16100-150</v>
          </cell>
          <cell r="H175">
            <v>1</v>
          </cell>
          <cell r="I175" t="str">
            <v>7150/5900</v>
          </cell>
        </row>
        <row r="176">
          <cell r="A176" t="str">
            <v>03980-035</v>
          </cell>
          <cell r="C176" t="str">
            <v>PLATE</v>
          </cell>
          <cell r="D176" t="str">
            <v>C S</v>
          </cell>
          <cell r="E176" t="str">
            <v>PL200x200x12t</v>
          </cell>
          <cell r="G176" t="str">
            <v>16100-150</v>
          </cell>
          <cell r="H176">
            <v>1</v>
          </cell>
          <cell r="I176" t="str">
            <v>7150/5900</v>
          </cell>
        </row>
        <row r="177">
          <cell r="A177" t="str">
            <v>03980-035</v>
          </cell>
          <cell r="C177" t="str">
            <v>ANCHOR BOLT</v>
          </cell>
          <cell r="D177" t="str">
            <v>C S</v>
          </cell>
          <cell r="E177" t="str">
            <v>M16x177L</v>
          </cell>
          <cell r="G177" t="str">
            <v>16100-150</v>
          </cell>
          <cell r="H177">
            <v>4</v>
          </cell>
          <cell r="I177" t="str">
            <v>7150/5900</v>
          </cell>
        </row>
        <row r="178">
          <cell r="A178" t="str">
            <v>03980-035</v>
          </cell>
          <cell r="C178" t="str">
            <v>U-BOLT</v>
          </cell>
          <cell r="D178" t="str">
            <v>C S</v>
          </cell>
          <cell r="E178" t="str">
            <v>DN150</v>
          </cell>
          <cell r="G178" t="str">
            <v>16100-150</v>
          </cell>
          <cell r="H178">
            <v>1</v>
          </cell>
          <cell r="I178" t="str">
            <v>7150/5900</v>
          </cell>
        </row>
        <row r="180">
          <cell r="A180" t="str">
            <v>03980-036</v>
          </cell>
          <cell r="C180" t="str">
            <v>CHANNEL</v>
          </cell>
          <cell r="D180" t="str">
            <v>C S</v>
          </cell>
          <cell r="E180" t="str">
            <v>C100x50x5x7.5</v>
          </cell>
          <cell r="F180">
            <v>450</v>
          </cell>
          <cell r="G180" t="str">
            <v>16320- 80</v>
          </cell>
          <cell r="H180">
            <v>1</v>
          </cell>
        </row>
        <row r="181">
          <cell r="A181" t="str">
            <v>03980-036</v>
          </cell>
          <cell r="C181" t="str">
            <v>3-BOLT PIPE CLAMP</v>
          </cell>
          <cell r="D181" t="str">
            <v>C S</v>
          </cell>
          <cell r="E181" t="str">
            <v>DN 80</v>
          </cell>
          <cell r="G181" t="str">
            <v>16320- 80</v>
          </cell>
          <cell r="H181">
            <v>1</v>
          </cell>
          <cell r="I181" t="str">
            <v>7150/5900</v>
          </cell>
        </row>
        <row r="182">
          <cell r="A182" t="str">
            <v>03980-036</v>
          </cell>
          <cell r="C182" t="str">
            <v>WEL'D BEAM ATTACH.</v>
          </cell>
          <cell r="D182" t="str">
            <v>C S</v>
          </cell>
          <cell r="E182" t="str">
            <v>M12</v>
          </cell>
          <cell r="G182" t="str">
            <v>16320- 80</v>
          </cell>
          <cell r="H182">
            <v>1</v>
          </cell>
          <cell r="I182" t="str">
            <v>7150/5900</v>
          </cell>
        </row>
        <row r="183">
          <cell r="A183" t="str">
            <v>03980-036</v>
          </cell>
          <cell r="C183" t="str">
            <v>EYE NUT</v>
          </cell>
          <cell r="D183" t="str">
            <v>C S</v>
          </cell>
          <cell r="E183" t="str">
            <v>M12</v>
          </cell>
          <cell r="G183" t="str">
            <v>16320- 80</v>
          </cell>
          <cell r="H183">
            <v>2</v>
          </cell>
          <cell r="I183" t="str">
            <v>7150/5900</v>
          </cell>
        </row>
        <row r="184">
          <cell r="A184" t="str">
            <v>03980-036</v>
          </cell>
          <cell r="C184" t="str">
            <v>THR'D ROD</v>
          </cell>
          <cell r="D184" t="str">
            <v>C S</v>
          </cell>
          <cell r="E184" t="str">
            <v>M12</v>
          </cell>
          <cell r="F184">
            <v>1161</v>
          </cell>
          <cell r="G184" t="str">
            <v>16320- 80</v>
          </cell>
          <cell r="H184">
            <v>1</v>
          </cell>
          <cell r="I184" t="str">
            <v>7150/5900</v>
          </cell>
        </row>
        <row r="186">
          <cell r="A186" t="str">
            <v>03980-037</v>
          </cell>
          <cell r="C186" t="str">
            <v>H-BEAM</v>
          </cell>
          <cell r="D186" t="str">
            <v>C S</v>
          </cell>
          <cell r="E186" t="str">
            <v>H100x100x6x8</v>
          </cell>
          <cell r="F186">
            <v>284</v>
          </cell>
          <cell r="G186" t="str">
            <v>16320- 80</v>
          </cell>
          <cell r="H186">
            <v>1</v>
          </cell>
          <cell r="I186" t="str">
            <v>7150/5900</v>
          </cell>
        </row>
        <row r="187">
          <cell r="A187" t="str">
            <v>03980-037</v>
          </cell>
          <cell r="C187" t="str">
            <v>ANGLE</v>
          </cell>
          <cell r="D187" t="str">
            <v>C S</v>
          </cell>
          <cell r="E187" t="str">
            <v>L75x75x9</v>
          </cell>
          <cell r="F187">
            <v>225</v>
          </cell>
          <cell r="G187" t="str">
            <v>16320- 80</v>
          </cell>
          <cell r="H187">
            <v>1</v>
          </cell>
          <cell r="I187" t="str">
            <v>7150/5900</v>
          </cell>
        </row>
        <row r="188">
          <cell r="A188" t="str">
            <v>03980-037</v>
          </cell>
          <cell r="C188" t="str">
            <v>U-BOLT</v>
          </cell>
          <cell r="D188" t="str">
            <v>C S</v>
          </cell>
          <cell r="E188" t="str">
            <v>DN 80</v>
          </cell>
          <cell r="G188" t="str">
            <v>16320- 80</v>
          </cell>
          <cell r="H188">
            <v>1</v>
          </cell>
          <cell r="I188" t="str">
            <v>7150/5900</v>
          </cell>
        </row>
        <row r="189">
          <cell r="A189" t="str">
            <v>03980-037</v>
          </cell>
          <cell r="C189" t="str">
            <v>PLATE</v>
          </cell>
          <cell r="D189" t="str">
            <v>C S</v>
          </cell>
          <cell r="E189" t="str">
            <v>PL200x200x12t</v>
          </cell>
          <cell r="G189" t="str">
            <v>16320- 80</v>
          </cell>
          <cell r="H189">
            <v>1</v>
          </cell>
          <cell r="I189" t="str">
            <v>7150/5900</v>
          </cell>
        </row>
        <row r="190">
          <cell r="A190" t="str">
            <v>03980-037</v>
          </cell>
          <cell r="C190" t="str">
            <v>ANCHOR BOLT</v>
          </cell>
          <cell r="D190" t="str">
            <v>C S</v>
          </cell>
          <cell r="E190" t="str">
            <v>M12x155L</v>
          </cell>
          <cell r="G190" t="str">
            <v>16320- 80</v>
          </cell>
          <cell r="H190">
            <v>4</v>
          </cell>
          <cell r="I190" t="str">
            <v>7150/5900</v>
          </cell>
        </row>
        <row r="192">
          <cell r="A192" t="str">
            <v>03980-038</v>
          </cell>
          <cell r="C192" t="str">
            <v>ANGLE</v>
          </cell>
          <cell r="D192" t="str">
            <v>C S</v>
          </cell>
          <cell r="E192" t="str">
            <v>L75x75x9</v>
          </cell>
          <cell r="F192">
            <v>284</v>
          </cell>
          <cell r="G192" t="str">
            <v>16320- 80</v>
          </cell>
          <cell r="H192">
            <v>1</v>
          </cell>
          <cell r="I192" t="str">
            <v>7150/5900</v>
          </cell>
        </row>
        <row r="193">
          <cell r="A193" t="str">
            <v>03980-038</v>
          </cell>
          <cell r="C193" t="str">
            <v>U-BOLT</v>
          </cell>
          <cell r="D193" t="str">
            <v>C S</v>
          </cell>
          <cell r="E193" t="str">
            <v>DN 80</v>
          </cell>
          <cell r="G193" t="str">
            <v>16320- 80</v>
          </cell>
          <cell r="H193">
            <v>1</v>
          </cell>
          <cell r="I193" t="str">
            <v>7150/5900</v>
          </cell>
        </row>
        <row r="194">
          <cell r="A194" t="str">
            <v>03980-038</v>
          </cell>
          <cell r="C194" t="str">
            <v>PLATE</v>
          </cell>
          <cell r="D194" t="str">
            <v>C S</v>
          </cell>
          <cell r="E194" t="str">
            <v>PL200x100x12t</v>
          </cell>
          <cell r="G194" t="str">
            <v>16320- 80</v>
          </cell>
          <cell r="H194">
            <v>1</v>
          </cell>
          <cell r="I194" t="str">
            <v>7150/5900</v>
          </cell>
        </row>
        <row r="195">
          <cell r="A195" t="str">
            <v>03980-038</v>
          </cell>
          <cell r="C195" t="str">
            <v>ANCHOR BOLT</v>
          </cell>
          <cell r="D195" t="str">
            <v>C S</v>
          </cell>
          <cell r="E195" t="str">
            <v>M12x155L</v>
          </cell>
          <cell r="G195" t="str">
            <v>16320- 80</v>
          </cell>
          <cell r="H195">
            <v>2</v>
          </cell>
          <cell r="I195" t="str">
            <v>7150/5900</v>
          </cell>
        </row>
      </sheetData>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WiseData"/>
      <sheetName val="Weather"/>
      <sheetName val="DEMAND"/>
      <sheetName val="SourceWise"/>
      <sheetName val="CE1"/>
      <sheetName val="CE2"/>
      <sheetName val="CM's (New)"/>
      <sheetName val="DIRECTOR'S"/>
      <sheetName val="DIRECTOR'S Spl"/>
      <sheetName val="ODUD"/>
      <sheetName val="MinVoltage"/>
      <sheetName val="MiscDataEntry"/>
      <sheetName val="7 DAYS"/>
      <sheetName val="PSP1"/>
      <sheetName val="PSP2"/>
      <sheetName val="Data"/>
      <sheetName val="TraderingDetails"/>
      <sheetName val="SYSTEM DATA"/>
      <sheetName val="PsDataEntry"/>
      <sheetName val="REG10"/>
      <sheetName val="CM's"/>
      <sheetName val="HydroDatails"/>
      <sheetName val="CEA"/>
      <sheetName val="Rl-Ul-Hz-ScH"/>
      <sheetName val="Member D"/>
      <sheetName val="PSP"/>
      <sheetName val="Central Sector Shar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59">
          <cell r="C59">
            <v>75.039999999999992</v>
          </cell>
        </row>
      </sheetData>
      <sheetData sheetId="14" refreshError="1"/>
      <sheetData sheetId="15" refreshError="1"/>
      <sheetData sheetId="16" refreshError="1"/>
      <sheetData sheetId="17" refreshError="1"/>
      <sheetData sheetId="18" refreshError="1">
        <row r="169">
          <cell r="B169">
            <v>0.23333333333333331</v>
          </cell>
        </row>
        <row r="170">
          <cell r="B170">
            <v>0.19652777777777777</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WiseData"/>
      <sheetName val="Weather"/>
      <sheetName val="DEMAND"/>
      <sheetName val="SourceWise"/>
      <sheetName val="DIRECTOR'S"/>
      <sheetName val="DIRECTOR'S Spl"/>
      <sheetName val="ODUD"/>
      <sheetName val="MinVoltage"/>
      <sheetName val="MiscDataEntry"/>
      <sheetName val="CE1"/>
      <sheetName val="CE2"/>
      <sheetName val="7 DAYS"/>
      <sheetName val="PSP1"/>
      <sheetName val="PSP2"/>
      <sheetName val="Data"/>
      <sheetName val="TraderingDetails"/>
      <sheetName val="SYSTEM DATA"/>
      <sheetName val="CEA"/>
      <sheetName val="PsDataEntry"/>
      <sheetName val="REG10"/>
      <sheetName val="CM's (New)"/>
      <sheetName val="CM's"/>
      <sheetName val="HydroDatails"/>
      <sheetName val="Rl-Ul-Hz-ScH"/>
      <sheetName val="Member 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59">
          <cell r="C59">
            <v>195.14999999999998</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 Rate"/>
      <sheetName val="160MVA+2FB"/>
      <sheetName val="160MVA+1FB"/>
      <sheetName val="160MVA Addl"/>
      <sheetName val="220KV FB"/>
      <sheetName val="315MVA Addl"/>
      <sheetName val="40MVA+2FB"/>
      <sheetName val="20MVA+2FB"/>
      <sheetName val="40MVA+1FB"/>
      <sheetName val="132FB"/>
      <sheetName val="40to63"/>
      <sheetName val="20to40"/>
      <sheetName val="Addl.40"/>
      <sheetName val="Addl.20"/>
      <sheetName val="SS-Cost"/>
      <sheetName val="Addl.63 (2)"/>
      <sheetName val="Addl_40"/>
      <sheetName val="Unit_Rate"/>
      <sheetName val="160MVA_Addl"/>
      <sheetName val="220KV_FB"/>
      <sheetName val="315MVA_Addl"/>
      <sheetName val="Addl_401"/>
      <sheetName val="Addl_20"/>
      <sheetName val="Addl_63_(2)"/>
      <sheetName val="grid"/>
      <sheetName val="A 3_7"/>
      <sheetName val="04REL"/>
      <sheetName val="data"/>
      <sheetName val="Data base Feb 09"/>
      <sheetName val="132kv DCDS"/>
      <sheetName val=""/>
      <sheetName val="PACK (B)"/>
      <sheetName val="Salient1"/>
      <sheetName val="Cat_Ser_load"/>
      <sheetName val="Sheet1"/>
      <sheetName val="Unit_Rate1"/>
      <sheetName val="160MVA_Addl1"/>
      <sheetName val="220KV_FB1"/>
      <sheetName val="315MVA_Addl1"/>
      <sheetName val="Addl_402"/>
      <sheetName val="Addl_201"/>
      <sheetName val="Addl_63_(2)1"/>
      <sheetName val="A_3_7"/>
      <sheetName val="Data_base_Feb_09"/>
      <sheetName val="132kv_DCDS"/>
      <sheetName val="PACK_(B)"/>
      <sheetName val="Inputs"/>
      <sheetName val="A"/>
      <sheetName val="STN WISE EMR"/>
    </sheetNames>
    <sheetDataSet>
      <sheetData sheetId="0">
        <row r="38">
          <cell r="A38" t="str">
            <v xml:space="preserve">ESTIMATE FOR INSTALLATION OF ADDITIONAL 1X40MVA 132/33KV TRANSFORMER AT EXISTING EHV SUBSTATION </v>
          </cell>
        </row>
      </sheetData>
      <sheetData sheetId="1">
        <row r="38">
          <cell r="A38" t="str">
            <v xml:space="preserve">ESTIMATE FOR INSTALLATION OF ADDITIONAL 1X40MVA 132/33KV TRANSFORMER AT EXISTING EHV SUBSTATION </v>
          </cell>
        </row>
      </sheetData>
      <sheetData sheetId="2">
        <row r="38">
          <cell r="A38" t="str">
            <v xml:space="preserve">ESTIMATE FOR INSTALLATION OF ADDITIONAL 1X40MVA 132/33KV TRANSFORMER AT EXISTING EHV SUBSTATION </v>
          </cell>
        </row>
      </sheetData>
      <sheetData sheetId="3"/>
      <sheetData sheetId="4"/>
      <sheetData sheetId="5"/>
      <sheetData sheetId="6"/>
      <sheetData sheetId="7"/>
      <sheetData sheetId="8"/>
      <sheetData sheetId="9"/>
      <sheetData sheetId="10"/>
      <sheetData sheetId="11"/>
      <sheetData sheetId="12">
        <row r="38">
          <cell r="A38" t="str">
            <v xml:space="preserve">ESTIMATE FOR INSTALLATION OF ADDITIONAL 1X40MVA 132/33KV TRANSFORMER AT EXISTING EHV SUBSTATION </v>
          </cell>
        </row>
        <row r="39">
          <cell r="A39" t="str">
            <v>ESTIMATE FOR INSTALLATION OF ADDITIONAL 1X40MVA 132/33KV TRANSFORMER AT EXISTING EHV SUBSTATION</v>
          </cell>
        </row>
        <row r="40">
          <cell r="A40" t="str">
            <v>SCHEDULE</v>
          </cell>
        </row>
        <row r="41">
          <cell r="A41" t="str">
            <v>SCHEDULE</v>
          </cell>
        </row>
        <row r="42">
          <cell r="A42" t="str">
            <v>TOTAL NO. OF LOCATIONS</v>
          </cell>
          <cell r="B42">
            <v>0</v>
          </cell>
          <cell r="C42">
            <v>1</v>
          </cell>
        </row>
        <row r="43">
          <cell r="C43">
            <v>1</v>
          </cell>
        </row>
        <row r="44">
          <cell r="A44" t="str">
            <v>SNO</v>
          </cell>
          <cell r="B44" t="str">
            <v>PARTICULARS</v>
          </cell>
          <cell r="C44" t="str">
            <v>Quantity</v>
          </cell>
          <cell r="D44" t="str">
            <v>EX-W Rate</v>
          </cell>
          <cell r="E44" t="str">
            <v>EX-W Amount</v>
          </cell>
          <cell r="F44" t="str">
            <v>Other Rate</v>
          </cell>
          <cell r="G44" t="str">
            <v>Other Amount</v>
          </cell>
          <cell r="H44" t="str">
            <v>Total Rate</v>
          </cell>
          <cell r="I44" t="str">
            <v>Total Amount</v>
          </cell>
        </row>
        <row r="45">
          <cell r="A45" t="str">
            <v>SNO</v>
          </cell>
          <cell r="B45" t="str">
            <v>PARTICULARS</v>
          </cell>
          <cell r="C45" t="str">
            <v>Quantity</v>
          </cell>
          <cell r="D45" t="str">
            <v>EX-W Rate</v>
          </cell>
          <cell r="E45" t="str">
            <v>EX-W Amount</v>
          </cell>
          <cell r="F45" t="str">
            <v>Other Rate</v>
          </cell>
          <cell r="G45" t="str">
            <v>Other Amount</v>
          </cell>
          <cell r="H45" t="str">
            <v>Total Rate</v>
          </cell>
          <cell r="I45" t="str">
            <v>Total Amount</v>
          </cell>
        </row>
        <row r="46">
          <cell r="A46" t="str">
            <v>(A)</v>
          </cell>
          <cell r="B46" t="str">
            <v>220KV EQUIPMENTS</v>
          </cell>
        </row>
        <row r="47">
          <cell r="A47" t="str">
            <v>(A)</v>
          </cell>
          <cell r="B47" t="str">
            <v>220KV EQUIPMENTS</v>
          </cell>
        </row>
        <row r="48">
          <cell r="A48">
            <v>1</v>
          </cell>
          <cell r="B48" t="str">
            <v>Circuit Breaker</v>
          </cell>
          <cell r="C48">
            <v>0</v>
          </cell>
          <cell r="D48">
            <v>13.429399999999999</v>
          </cell>
          <cell r="E48">
            <v>0</v>
          </cell>
          <cell r="F48">
            <v>1.0102</v>
          </cell>
          <cell r="G48">
            <v>0</v>
          </cell>
          <cell r="H48">
            <v>14.439599999999999</v>
          </cell>
          <cell r="I48">
            <v>0</v>
          </cell>
        </row>
        <row r="49">
          <cell r="A49">
            <v>2</v>
          </cell>
          <cell r="B49" t="str">
            <v>Current Transformer</v>
          </cell>
          <cell r="C49">
            <v>0</v>
          </cell>
          <cell r="D49">
            <v>1.3</v>
          </cell>
          <cell r="E49">
            <v>0</v>
          </cell>
          <cell r="F49">
            <v>9.1999999999999998E-2</v>
          </cell>
          <cell r="G49">
            <v>0</v>
          </cell>
          <cell r="H49">
            <v>1.3920000000000001</v>
          </cell>
          <cell r="I49">
            <v>0</v>
          </cell>
        </row>
        <row r="50">
          <cell r="A50">
            <v>3</v>
          </cell>
          <cell r="B50" t="str">
            <v>Isolator (with E/S)</v>
          </cell>
          <cell r="C50">
            <v>0</v>
          </cell>
          <cell r="D50">
            <v>0.50570000000000004</v>
          </cell>
          <cell r="E50">
            <v>0</v>
          </cell>
          <cell r="F50">
            <v>3.2899999999999999E-2</v>
          </cell>
          <cell r="G50">
            <v>0</v>
          </cell>
          <cell r="H50">
            <v>0.53860000000000008</v>
          </cell>
          <cell r="I50">
            <v>0</v>
          </cell>
        </row>
        <row r="51">
          <cell r="A51">
            <v>4</v>
          </cell>
          <cell r="B51" t="str">
            <v>Isolator (without E/S)</v>
          </cell>
          <cell r="C51">
            <v>0</v>
          </cell>
          <cell r="D51">
            <v>0.50570000000000004</v>
          </cell>
          <cell r="E51">
            <v>0</v>
          </cell>
          <cell r="F51">
            <v>3.2899999999999999E-2</v>
          </cell>
          <cell r="G51">
            <v>0</v>
          </cell>
          <cell r="H51">
            <v>0.53860000000000008</v>
          </cell>
          <cell r="I51">
            <v>0</v>
          </cell>
        </row>
        <row r="52">
          <cell r="A52">
            <v>5</v>
          </cell>
          <cell r="B52" t="str">
            <v>LA</v>
          </cell>
          <cell r="C52">
            <v>0</v>
          </cell>
          <cell r="D52">
            <v>0.4234</v>
          </cell>
          <cell r="E52">
            <v>0</v>
          </cell>
          <cell r="F52">
            <v>2.6100000000000002E-2</v>
          </cell>
          <cell r="G52">
            <v>0</v>
          </cell>
          <cell r="H52">
            <v>0.44950000000000001</v>
          </cell>
          <cell r="I52">
            <v>0</v>
          </cell>
        </row>
        <row r="53">
          <cell r="A53">
            <v>6</v>
          </cell>
          <cell r="B53" t="str">
            <v>PI / Solid Core Insulators</v>
          </cell>
          <cell r="C53">
            <v>0</v>
          </cell>
          <cell r="D53">
            <v>0.14399999999999999</v>
          </cell>
          <cell r="E53">
            <v>0</v>
          </cell>
          <cell r="F53">
            <v>9.7999999999999997E-3</v>
          </cell>
          <cell r="G53">
            <v>0</v>
          </cell>
          <cell r="H53">
            <v>0.15379999999999999</v>
          </cell>
          <cell r="I53">
            <v>0</v>
          </cell>
        </row>
        <row r="54">
          <cell r="A54">
            <v>7</v>
          </cell>
          <cell r="B54" t="str">
            <v>C&amp;R Panel(For feeder)</v>
          </cell>
          <cell r="C54">
            <v>0</v>
          </cell>
          <cell r="D54">
            <v>4.5674999999999999</v>
          </cell>
          <cell r="E54">
            <v>0</v>
          </cell>
          <cell r="F54">
            <v>9.1399999999999995E-2</v>
          </cell>
          <cell r="G54">
            <v>0</v>
          </cell>
          <cell r="H54">
            <v>4.6589</v>
          </cell>
          <cell r="I54">
            <v>0</v>
          </cell>
        </row>
        <row r="55">
          <cell r="A55">
            <v>8</v>
          </cell>
          <cell r="B55" t="str">
            <v>C&amp;R Panel (for transformer)</v>
          </cell>
          <cell r="C55">
            <v>0</v>
          </cell>
          <cell r="D55">
            <v>4.5674999999999999</v>
          </cell>
          <cell r="E55">
            <v>0</v>
          </cell>
          <cell r="F55">
            <v>9.1399999999999995E-2</v>
          </cell>
          <cell r="G55">
            <v>0</v>
          </cell>
          <cell r="H55">
            <v>4.6589</v>
          </cell>
          <cell r="I55">
            <v>0</v>
          </cell>
        </row>
        <row r="56">
          <cell r="A56">
            <v>9</v>
          </cell>
          <cell r="B56" t="str">
            <v>C&amp;R Panel (Bus coup./Bus tie)</v>
          </cell>
          <cell r="C56">
            <v>0</v>
          </cell>
          <cell r="D56">
            <v>4.5674999999999999</v>
          </cell>
          <cell r="E56">
            <v>0</v>
          </cell>
          <cell r="F56">
            <v>9.1399999999999995E-2</v>
          </cell>
          <cell r="G56">
            <v>0</v>
          </cell>
          <cell r="H56">
            <v>4.6589</v>
          </cell>
          <cell r="I56">
            <v>0</v>
          </cell>
        </row>
        <row r="57">
          <cell r="A57">
            <v>10</v>
          </cell>
          <cell r="B57" t="str">
            <v>Synchroscope</v>
          </cell>
          <cell r="C57">
            <v>0</v>
          </cell>
          <cell r="D57">
            <v>0</v>
          </cell>
          <cell r="E57">
            <v>0</v>
          </cell>
          <cell r="F57">
            <v>1.5</v>
          </cell>
          <cell r="G57">
            <v>0</v>
          </cell>
          <cell r="H57">
            <v>1.5</v>
          </cell>
          <cell r="I57">
            <v>0</v>
          </cell>
        </row>
        <row r="58">
          <cell r="A58">
            <v>11</v>
          </cell>
          <cell r="B58" t="str">
            <v>PT</v>
          </cell>
          <cell r="C58">
            <v>0</v>
          </cell>
          <cell r="D58">
            <v>1.5</v>
          </cell>
          <cell r="E58">
            <v>0</v>
          </cell>
          <cell r="F58">
            <v>0.1</v>
          </cell>
          <cell r="G58">
            <v>0</v>
          </cell>
          <cell r="H58">
            <v>1.6</v>
          </cell>
          <cell r="I58">
            <v>0</v>
          </cell>
        </row>
        <row r="59">
          <cell r="A59">
            <v>12</v>
          </cell>
          <cell r="B59" t="str">
            <v>Suspension/Tension String with H/W</v>
          </cell>
          <cell r="C59">
            <v>0</v>
          </cell>
          <cell r="D59">
            <v>6.0785000000000006E-2</v>
          </cell>
          <cell r="E59">
            <v>0</v>
          </cell>
          <cell r="F59">
            <v>6.0000000000000001E-3</v>
          </cell>
          <cell r="G59">
            <v>0</v>
          </cell>
          <cell r="H59">
            <v>6.6785000000000011E-2</v>
          </cell>
          <cell r="I59">
            <v>0</v>
          </cell>
        </row>
        <row r="60">
          <cell r="A60">
            <v>13</v>
          </cell>
          <cell r="B60" t="str">
            <v>Double Tension String with H/W</v>
          </cell>
          <cell r="C60">
            <v>0</v>
          </cell>
          <cell r="D60">
            <v>0.11468500000000001</v>
          </cell>
          <cell r="E60">
            <v>0</v>
          </cell>
          <cell r="F60">
            <v>1.1599999999999999E-2</v>
          </cell>
          <cell r="G60">
            <v>0</v>
          </cell>
          <cell r="H60">
            <v>0.12628500000000001</v>
          </cell>
          <cell r="I60">
            <v>0</v>
          </cell>
        </row>
        <row r="61">
          <cell r="A61">
            <v>13</v>
          </cell>
          <cell r="B61" t="str">
            <v>Double Tension String with H/W</v>
          </cell>
          <cell r="C61">
            <v>0</v>
          </cell>
          <cell r="D61">
            <v>0.114685</v>
          </cell>
          <cell r="E61">
            <v>0</v>
          </cell>
          <cell r="F61">
            <v>1.1599999999999999E-2</v>
          </cell>
          <cell r="G61">
            <v>0</v>
          </cell>
          <cell r="H61">
            <v>0.12628500000000001</v>
          </cell>
          <cell r="I61">
            <v>0</v>
          </cell>
        </row>
        <row r="62">
          <cell r="B62" t="str">
            <v>SUB TOTAL (A)</v>
          </cell>
          <cell r="C62" t="str">
            <v xml:space="preserve"> </v>
          </cell>
          <cell r="D62">
            <v>0</v>
          </cell>
          <cell r="E62">
            <v>0</v>
          </cell>
          <cell r="F62">
            <v>0</v>
          </cell>
          <cell r="G62">
            <v>0</v>
          </cell>
          <cell r="H62">
            <v>0</v>
          </cell>
          <cell r="I62">
            <v>0</v>
          </cell>
        </row>
        <row r="63">
          <cell r="I63">
            <v>0</v>
          </cell>
        </row>
        <row r="64">
          <cell r="A64" t="str">
            <v>(B)</v>
          </cell>
          <cell r="B64" t="str">
            <v>132KV EQUIPMENTS</v>
          </cell>
        </row>
        <row r="65">
          <cell r="A65" t="str">
            <v>(B)</v>
          </cell>
          <cell r="B65" t="str">
            <v>132KV EQUIPMENTS</v>
          </cell>
        </row>
        <row r="66">
          <cell r="A66">
            <v>1</v>
          </cell>
          <cell r="B66" t="str">
            <v>Circuit Breaker</v>
          </cell>
          <cell r="C66">
            <v>1</v>
          </cell>
          <cell r="D66">
            <v>6.4887000000000015</v>
          </cell>
          <cell r="E66">
            <v>6.4887000000000015</v>
          </cell>
          <cell r="F66">
            <v>0.57534999999999992</v>
          </cell>
          <cell r="G66">
            <v>0.57534999999999992</v>
          </cell>
          <cell r="H66">
            <v>7.0640500000000017</v>
          </cell>
          <cell r="I66">
            <v>7.0640500000000017</v>
          </cell>
        </row>
        <row r="67">
          <cell r="A67">
            <v>2</v>
          </cell>
          <cell r="B67" t="str">
            <v>CT</v>
          </cell>
          <cell r="C67">
            <v>3</v>
          </cell>
          <cell r="D67">
            <v>0.6766871508379888</v>
          </cell>
          <cell r="E67">
            <v>2.0300614525139666</v>
          </cell>
          <cell r="F67">
            <v>4.9566480446927373E-2</v>
          </cell>
          <cell r="G67">
            <v>0.14869944134078211</v>
          </cell>
          <cell r="H67">
            <v>0.72625363128491616</v>
          </cell>
          <cell r="I67">
            <v>2.1787608938547489</v>
          </cell>
        </row>
        <row r="68">
          <cell r="A68">
            <v>3</v>
          </cell>
          <cell r="B68" t="str">
            <v xml:space="preserve">Isolator  with E/S </v>
          </cell>
          <cell r="C68">
            <v>0</v>
          </cell>
          <cell r="D68">
            <v>0.32090000000000002</v>
          </cell>
          <cell r="E68">
            <v>0</v>
          </cell>
          <cell r="F68">
            <v>2.4400000000000002E-2</v>
          </cell>
          <cell r="G68">
            <v>0</v>
          </cell>
          <cell r="H68">
            <v>0.3453</v>
          </cell>
          <cell r="I68">
            <v>0</v>
          </cell>
        </row>
        <row r="69">
          <cell r="A69">
            <v>4</v>
          </cell>
          <cell r="B69" t="str">
            <v>Isolator without E/S</v>
          </cell>
          <cell r="C69">
            <v>3</v>
          </cell>
          <cell r="D69">
            <v>0.32090000000000002</v>
          </cell>
          <cell r="E69">
            <v>0.96270000000000011</v>
          </cell>
          <cell r="F69">
            <v>2.4400000000000002E-2</v>
          </cell>
          <cell r="G69">
            <v>7.3200000000000001E-2</v>
          </cell>
          <cell r="H69">
            <v>0.3453</v>
          </cell>
          <cell r="I69">
            <v>1.0359</v>
          </cell>
        </row>
        <row r="70">
          <cell r="A70">
            <v>5</v>
          </cell>
          <cell r="B70" t="str">
            <v>PT</v>
          </cell>
          <cell r="C70">
            <v>0</v>
          </cell>
          <cell r="D70">
            <v>0.65</v>
          </cell>
          <cell r="E70">
            <v>0</v>
          </cell>
          <cell r="F70">
            <v>5.6000000000000001E-2</v>
          </cell>
          <cell r="G70">
            <v>0</v>
          </cell>
          <cell r="H70">
            <v>0.70600000000000007</v>
          </cell>
          <cell r="I70">
            <v>0</v>
          </cell>
        </row>
        <row r="71">
          <cell r="A71">
            <v>6</v>
          </cell>
          <cell r="B71" t="str">
            <v>LA</v>
          </cell>
          <cell r="C71">
            <v>3</v>
          </cell>
          <cell r="D71">
            <v>0.2258</v>
          </cell>
          <cell r="E71">
            <v>0.6774</v>
          </cell>
          <cell r="F71">
            <v>1.4200000000000001E-2</v>
          </cell>
          <cell r="G71">
            <v>4.2599999999999999E-2</v>
          </cell>
          <cell r="H71">
            <v>0.24</v>
          </cell>
          <cell r="I71">
            <v>0.72</v>
          </cell>
        </row>
        <row r="72">
          <cell r="A72">
            <v>7</v>
          </cell>
          <cell r="B72" t="str">
            <v>C&amp;R Panel (for 220/132KV Xmer)</v>
          </cell>
          <cell r="C72">
            <v>0</v>
          </cell>
          <cell r="D72">
            <v>4.9398999999999997</v>
          </cell>
          <cell r="E72">
            <v>0</v>
          </cell>
          <cell r="F72">
            <v>0.32175000000000004</v>
          </cell>
          <cell r="G72">
            <v>0</v>
          </cell>
          <cell r="H72">
            <v>5.2616499999999995</v>
          </cell>
          <cell r="I72">
            <v>0</v>
          </cell>
        </row>
        <row r="73">
          <cell r="A73">
            <v>8</v>
          </cell>
          <cell r="B73" t="str">
            <v>C&amp;R Panel (for 132/33KV Xmer)</v>
          </cell>
          <cell r="C73">
            <v>1</v>
          </cell>
          <cell r="D73">
            <v>4.9398999999999997</v>
          </cell>
          <cell r="E73">
            <v>4.9398999999999997</v>
          </cell>
          <cell r="F73">
            <v>0.32175000000000004</v>
          </cell>
          <cell r="G73">
            <v>0.32175000000000004</v>
          </cell>
          <cell r="H73">
            <v>5.2616499999999995</v>
          </cell>
          <cell r="I73">
            <v>5.2616499999999995</v>
          </cell>
        </row>
        <row r="74">
          <cell r="A74">
            <v>9</v>
          </cell>
          <cell r="B74" t="str">
            <v>C&amp;R Panel (for Feeder)</v>
          </cell>
          <cell r="C74">
            <v>0</v>
          </cell>
          <cell r="D74">
            <v>4.9398999999999997</v>
          </cell>
          <cell r="E74">
            <v>0</v>
          </cell>
          <cell r="F74">
            <v>0.32175000000000004</v>
          </cell>
          <cell r="G74">
            <v>0</v>
          </cell>
          <cell r="H74">
            <v>5.2616499999999995</v>
          </cell>
          <cell r="I74">
            <v>0</v>
          </cell>
        </row>
        <row r="75">
          <cell r="A75">
            <v>10</v>
          </cell>
          <cell r="B75" t="str">
            <v>C&amp;R Panel (for Bus coupler)</v>
          </cell>
          <cell r="C75">
            <v>0</v>
          </cell>
          <cell r="D75">
            <v>4.9398999999999997</v>
          </cell>
          <cell r="E75">
            <v>0</v>
          </cell>
          <cell r="F75">
            <v>0.32175000000000004</v>
          </cell>
          <cell r="G75">
            <v>0</v>
          </cell>
          <cell r="H75">
            <v>5.2616499999999995</v>
          </cell>
          <cell r="I75">
            <v>0</v>
          </cell>
        </row>
        <row r="76">
          <cell r="A76">
            <v>11</v>
          </cell>
          <cell r="B76" t="str">
            <v>PI/Solid Core Insulators</v>
          </cell>
          <cell r="C76">
            <v>36</v>
          </cell>
          <cell r="D76">
            <v>7.2499999999999995E-2</v>
          </cell>
          <cell r="E76">
            <v>2.61</v>
          </cell>
          <cell r="F76">
            <v>1.4E-2</v>
          </cell>
          <cell r="G76">
            <v>0.504</v>
          </cell>
          <cell r="H76">
            <v>8.6499999999999994E-2</v>
          </cell>
          <cell r="I76">
            <v>3.1139999999999999</v>
          </cell>
        </row>
        <row r="77">
          <cell r="A77">
            <v>12</v>
          </cell>
          <cell r="B77" t="str">
            <v>Suspension &amp; Tension String with H/W</v>
          </cell>
          <cell r="C77">
            <v>20</v>
          </cell>
          <cell r="D77">
            <v>3.6319999999999998E-2</v>
          </cell>
          <cell r="E77">
            <v>0.72639999999999993</v>
          </cell>
          <cell r="F77">
            <v>3.9924999999999995E-3</v>
          </cell>
          <cell r="G77">
            <v>7.984999999999999E-2</v>
          </cell>
          <cell r="H77">
            <v>4.0312500000000001E-2</v>
          </cell>
          <cell r="I77">
            <v>0.80624999999999991</v>
          </cell>
        </row>
        <row r="78">
          <cell r="A78">
            <v>13</v>
          </cell>
          <cell r="B78" t="str">
            <v>Double Tension String with H/W</v>
          </cell>
          <cell r="C78">
            <v>8</v>
          </cell>
          <cell r="D78">
            <v>5.9319999999999998E-2</v>
          </cell>
          <cell r="E78">
            <v>0.47455999999999998</v>
          </cell>
          <cell r="F78">
            <v>6.9924999999999987E-3</v>
          </cell>
          <cell r="G78">
            <v>5.593999999999999E-2</v>
          </cell>
          <cell r="H78">
            <v>6.6312499999999996E-2</v>
          </cell>
          <cell r="I78">
            <v>0.53049999999999997</v>
          </cell>
        </row>
        <row r="79">
          <cell r="A79">
            <v>13</v>
          </cell>
          <cell r="B79" t="str">
            <v>Double Tension String with H/W</v>
          </cell>
          <cell r="C79">
            <v>8</v>
          </cell>
          <cell r="D79">
            <v>5.9319999999999998E-2</v>
          </cell>
          <cell r="E79">
            <v>0.47455999999999998</v>
          </cell>
          <cell r="F79">
            <v>6.992E-3</v>
          </cell>
          <cell r="G79">
            <v>5.5939999999999997E-2</v>
          </cell>
          <cell r="H79">
            <v>6.6311999999999996E-2</v>
          </cell>
          <cell r="I79">
            <v>0.53049999999999997</v>
          </cell>
        </row>
        <row r="80">
          <cell r="B80" t="str">
            <v>SUB TOTAL (B)</v>
          </cell>
          <cell r="C80">
            <v>0</v>
          </cell>
          <cell r="D80">
            <v>0</v>
          </cell>
          <cell r="E80">
            <v>18.909721452513967</v>
          </cell>
          <cell r="F80">
            <v>0</v>
          </cell>
          <cell r="G80">
            <v>1.801389441340782</v>
          </cell>
          <cell r="H80">
            <v>0</v>
          </cell>
          <cell r="I80">
            <v>20.711110893854752</v>
          </cell>
        </row>
        <row r="81">
          <cell r="I81">
            <v>20.711110999999999</v>
          </cell>
        </row>
        <row r="82">
          <cell r="A82" t="str">
            <v>(C)</v>
          </cell>
          <cell r="B82" t="str">
            <v>33KV EQUIPMENTS</v>
          </cell>
        </row>
        <row r="83">
          <cell r="A83" t="str">
            <v>(C)</v>
          </cell>
          <cell r="B83" t="str">
            <v>33KV EQUIPMENTS</v>
          </cell>
        </row>
        <row r="84">
          <cell r="A84">
            <v>1</v>
          </cell>
          <cell r="B84" t="str">
            <v>Circuit Breaker</v>
          </cell>
          <cell r="C84">
            <v>1</v>
          </cell>
          <cell r="D84">
            <v>2.3801000000000001</v>
          </cell>
          <cell r="E84">
            <v>2.3801000000000001</v>
          </cell>
          <cell r="F84">
            <v>0.1452</v>
          </cell>
          <cell r="G84">
            <v>0.1452</v>
          </cell>
          <cell r="H84">
            <v>2.5253000000000001</v>
          </cell>
          <cell r="I84">
            <v>2.5253000000000001</v>
          </cell>
        </row>
        <row r="85">
          <cell r="A85">
            <v>2</v>
          </cell>
          <cell r="B85" t="str">
            <v>CT</v>
          </cell>
          <cell r="C85">
            <v>3</v>
          </cell>
          <cell r="D85">
            <v>0.1192</v>
          </cell>
          <cell r="E85">
            <v>0.35760000000000003</v>
          </cell>
          <cell r="F85">
            <v>1.23E-2</v>
          </cell>
          <cell r="G85">
            <v>3.6900000000000002E-2</v>
          </cell>
          <cell r="H85">
            <v>0.13150000000000001</v>
          </cell>
          <cell r="I85">
            <v>0.39450000000000002</v>
          </cell>
        </row>
        <row r="86">
          <cell r="A86">
            <v>3</v>
          </cell>
          <cell r="B86" t="str">
            <v>LA</v>
          </cell>
          <cell r="C86">
            <v>3</v>
          </cell>
          <cell r="D86">
            <v>3.6799999999999999E-2</v>
          </cell>
          <cell r="E86">
            <v>0.1104</v>
          </cell>
          <cell r="F86">
            <v>2.3E-3</v>
          </cell>
          <cell r="G86">
            <v>6.8999999999999999E-3</v>
          </cell>
          <cell r="H86">
            <v>3.9099999999999996E-2</v>
          </cell>
          <cell r="I86">
            <v>0.1173</v>
          </cell>
        </row>
        <row r="87">
          <cell r="A87">
            <v>4</v>
          </cell>
          <cell r="B87" t="str">
            <v>Potential transformer</v>
          </cell>
          <cell r="C87">
            <v>0</v>
          </cell>
          <cell r="D87">
            <v>1.2500000000000001E-2</v>
          </cell>
          <cell r="E87">
            <v>0</v>
          </cell>
          <cell r="F87">
            <v>2E-3</v>
          </cell>
          <cell r="G87">
            <v>0</v>
          </cell>
          <cell r="H87">
            <v>1.4500000000000001E-2</v>
          </cell>
          <cell r="I87">
            <v>0</v>
          </cell>
        </row>
        <row r="88">
          <cell r="A88">
            <v>5</v>
          </cell>
          <cell r="B88" t="str">
            <v>Isolator (with E/S) with insulator</v>
          </cell>
          <cell r="C88">
            <v>0</v>
          </cell>
          <cell r="D88">
            <v>0.10929999999999999</v>
          </cell>
          <cell r="E88">
            <v>0</v>
          </cell>
          <cell r="F88">
            <v>7.4999999999999997E-3</v>
          </cell>
          <cell r="G88">
            <v>0</v>
          </cell>
          <cell r="H88">
            <v>0.11679999999999999</v>
          </cell>
          <cell r="I88">
            <v>0</v>
          </cell>
        </row>
        <row r="89">
          <cell r="A89">
            <v>6</v>
          </cell>
          <cell r="B89" t="str">
            <v>Isolator (without E/S) with insulator</v>
          </cell>
          <cell r="C89">
            <v>2</v>
          </cell>
          <cell r="D89">
            <v>0.10929999999999999</v>
          </cell>
          <cell r="E89">
            <v>0.21859999999999999</v>
          </cell>
          <cell r="F89">
            <v>7.4999999999999997E-3</v>
          </cell>
          <cell r="G89">
            <v>1.4999999999999999E-2</v>
          </cell>
          <cell r="H89">
            <v>0.11679999999999999</v>
          </cell>
          <cell r="I89">
            <v>0.23359999999999997</v>
          </cell>
        </row>
        <row r="90">
          <cell r="A90">
            <v>7</v>
          </cell>
          <cell r="B90" t="str">
            <v>C&amp;R Panel(for transformer)</v>
          </cell>
          <cell r="C90">
            <v>1</v>
          </cell>
          <cell r="D90">
            <v>1.8125</v>
          </cell>
          <cell r="E90">
            <v>1.8125</v>
          </cell>
          <cell r="F90">
            <v>9.4200000000000006E-2</v>
          </cell>
          <cell r="G90">
            <v>9.4200000000000006E-2</v>
          </cell>
          <cell r="H90">
            <v>1.9067000000000001</v>
          </cell>
          <cell r="I90">
            <v>1.9067000000000001</v>
          </cell>
        </row>
        <row r="91">
          <cell r="A91">
            <v>8</v>
          </cell>
          <cell r="B91" t="str">
            <v>C&amp;R Panel (for two feeder circuit)</v>
          </cell>
          <cell r="C91">
            <v>0</v>
          </cell>
          <cell r="D91">
            <v>1.8125</v>
          </cell>
          <cell r="E91">
            <v>0</v>
          </cell>
          <cell r="F91">
            <v>9.4200000000000006E-2</v>
          </cell>
          <cell r="G91">
            <v>0</v>
          </cell>
          <cell r="H91">
            <v>1.9067000000000001</v>
          </cell>
          <cell r="I91">
            <v>0</v>
          </cell>
        </row>
        <row r="92">
          <cell r="A92">
            <v>9</v>
          </cell>
          <cell r="B92" t="str">
            <v>Solid Core Insulators</v>
          </cell>
          <cell r="C92">
            <v>3</v>
          </cell>
          <cell r="D92">
            <v>1.2500000000000001E-2</v>
          </cell>
          <cell r="E92">
            <v>3.7500000000000006E-2</v>
          </cell>
          <cell r="F92">
            <v>2E-3</v>
          </cell>
          <cell r="G92">
            <v>6.0000000000000001E-3</v>
          </cell>
          <cell r="H92">
            <v>1.4500000000000001E-2</v>
          </cell>
          <cell r="I92">
            <v>4.3500000000000004E-2</v>
          </cell>
        </row>
        <row r="93">
          <cell r="A93">
            <v>10</v>
          </cell>
          <cell r="B93" t="str">
            <v>Suspension/Tension String with H/W</v>
          </cell>
          <cell r="C93">
            <v>12</v>
          </cell>
          <cell r="D93">
            <v>5.1900000000000002E-3</v>
          </cell>
          <cell r="E93">
            <v>4.1520000000000001E-2</v>
          </cell>
          <cell r="F93">
            <v>2.4000000000000002E-3</v>
          </cell>
          <cell r="G93">
            <v>1.9200000000000002E-2</v>
          </cell>
          <cell r="H93">
            <v>7.5900000000000004E-3</v>
          </cell>
          <cell r="I93">
            <v>6.0720000000000003E-2</v>
          </cell>
        </row>
        <row r="94">
          <cell r="A94">
            <v>11</v>
          </cell>
          <cell r="B94" t="str">
            <v>Double Tension String with H/W</v>
          </cell>
          <cell r="C94">
            <v>8</v>
          </cell>
          <cell r="D94">
            <v>1.038E-2</v>
          </cell>
          <cell r="E94">
            <v>0.12456</v>
          </cell>
          <cell r="F94">
            <v>4.5999999999999999E-3</v>
          </cell>
          <cell r="G94">
            <v>5.5199999999999999E-2</v>
          </cell>
          <cell r="H94">
            <v>1.498E-2</v>
          </cell>
          <cell r="I94">
            <v>0.17976</v>
          </cell>
        </row>
        <row r="95">
          <cell r="A95">
            <v>11</v>
          </cell>
          <cell r="B95" t="str">
            <v>Double Tension String with H/W</v>
          </cell>
          <cell r="C95">
            <v>8</v>
          </cell>
          <cell r="D95">
            <v>1.038E-2</v>
          </cell>
          <cell r="E95">
            <v>0.12456</v>
          </cell>
          <cell r="F95">
            <v>4.5999999999999999E-3</v>
          </cell>
          <cell r="G95">
            <v>5.5199999999999999E-2</v>
          </cell>
          <cell r="H95">
            <v>1.498E-2</v>
          </cell>
          <cell r="I95">
            <v>0.17976</v>
          </cell>
        </row>
        <row r="96">
          <cell r="B96" t="str">
            <v>SUB TOTAL (C)</v>
          </cell>
          <cell r="C96">
            <v>0</v>
          </cell>
          <cell r="D96">
            <v>0</v>
          </cell>
          <cell r="E96">
            <v>5.0827799999999996</v>
          </cell>
          <cell r="F96">
            <v>0</v>
          </cell>
          <cell r="G96">
            <v>0.37859999999999994</v>
          </cell>
          <cell r="H96">
            <v>0</v>
          </cell>
          <cell r="I96">
            <v>5.4613800000000001</v>
          </cell>
        </row>
        <row r="97">
          <cell r="I97">
            <v>5.4613800000000001</v>
          </cell>
        </row>
        <row r="98">
          <cell r="A98" t="str">
            <v>(D)</v>
          </cell>
          <cell r="B98" t="str">
            <v>TRANSFORMER &amp; ASSOCIATED EQUIP.</v>
          </cell>
        </row>
        <row r="99">
          <cell r="A99" t="str">
            <v>(D)</v>
          </cell>
          <cell r="B99" t="str">
            <v>TRANSFORMER &amp; ASSOCIATED EQUIP.</v>
          </cell>
        </row>
        <row r="100">
          <cell r="A100">
            <v>1</v>
          </cell>
          <cell r="B100" t="str">
            <v>160MVA 220/132KV Xmer
(with oil and associated eqip.)</v>
          </cell>
          <cell r="C100">
            <v>0</v>
          </cell>
          <cell r="D100">
            <v>307.5</v>
          </cell>
          <cell r="E100">
            <v>0</v>
          </cell>
          <cell r="F100">
            <v>12.34</v>
          </cell>
          <cell r="G100">
            <v>0</v>
          </cell>
          <cell r="H100">
            <v>319.83999999999997</v>
          </cell>
          <cell r="I100">
            <v>0</v>
          </cell>
        </row>
        <row r="101">
          <cell r="A101">
            <v>2</v>
          </cell>
          <cell r="B101" t="str">
            <v>40MVA 132/33KV Xmer 
(with oil and associated equip.)</v>
          </cell>
          <cell r="C101">
            <v>1</v>
          </cell>
          <cell r="D101">
            <v>124.35869344262296</v>
          </cell>
          <cell r="E101">
            <v>124.35869344262296</v>
          </cell>
          <cell r="F101">
            <v>8.5145573770491794</v>
          </cell>
          <cell r="G101">
            <v>8.5145573770491794</v>
          </cell>
          <cell r="H101">
            <v>132.87325081967214</v>
          </cell>
          <cell r="I101">
            <v>132.87325081967214</v>
          </cell>
        </row>
        <row r="102">
          <cell r="A102">
            <v>3</v>
          </cell>
          <cell r="B102" t="str">
            <v>Oil filteration Machine(500 Gl.per Hr.)</v>
          </cell>
          <cell r="C102">
            <v>1</v>
          </cell>
          <cell r="D102">
            <v>2.2738</v>
          </cell>
          <cell r="E102">
            <v>2.2738</v>
          </cell>
          <cell r="F102">
            <v>0.30199999999999999</v>
          </cell>
          <cell r="G102">
            <v>0.30199999999999999</v>
          </cell>
          <cell r="H102">
            <v>2.5758000000000001</v>
          </cell>
          <cell r="I102">
            <v>2.5758000000000001</v>
          </cell>
        </row>
        <row r="103">
          <cell r="A103">
            <v>4</v>
          </cell>
          <cell r="B103" t="str">
            <v>Oil Storage Tank (15/20 KL)</v>
          </cell>
          <cell r="C103">
            <v>0</v>
          </cell>
          <cell r="D103">
            <v>0</v>
          </cell>
          <cell r="E103">
            <v>0</v>
          </cell>
          <cell r="F103">
            <v>2</v>
          </cell>
          <cell r="G103">
            <v>0</v>
          </cell>
          <cell r="H103">
            <v>2</v>
          </cell>
          <cell r="I103">
            <v>0</v>
          </cell>
        </row>
        <row r="104">
          <cell r="A104">
            <v>4</v>
          </cell>
          <cell r="B104" t="str">
            <v>Oil Storage Tank (15/20 KL)</v>
          </cell>
          <cell r="C104">
            <v>0</v>
          </cell>
          <cell r="D104">
            <v>0</v>
          </cell>
          <cell r="E104">
            <v>0</v>
          </cell>
          <cell r="F104">
            <v>2</v>
          </cell>
          <cell r="G104">
            <v>0</v>
          </cell>
          <cell r="H104">
            <v>2</v>
          </cell>
          <cell r="I104">
            <v>0</v>
          </cell>
        </row>
        <row r="105">
          <cell r="B105" t="str">
            <v>SUB TOTAL (D)</v>
          </cell>
          <cell r="C105">
            <v>0</v>
          </cell>
          <cell r="D105">
            <v>0</v>
          </cell>
          <cell r="E105">
            <v>126.63249344262296</v>
          </cell>
          <cell r="F105">
            <v>0</v>
          </cell>
          <cell r="G105">
            <v>8.816557377049179</v>
          </cell>
          <cell r="H105">
            <v>0</v>
          </cell>
          <cell r="I105">
            <v>135.44905081967212</v>
          </cell>
        </row>
        <row r="106">
          <cell r="I106">
            <v>135.449051</v>
          </cell>
        </row>
        <row r="107">
          <cell r="A107" t="str">
            <v>(E)</v>
          </cell>
          <cell r="B107" t="str">
            <v xml:space="preserve">220KV &amp;132KV Carrier Comm.Equip.including provision for </v>
          </cell>
        </row>
        <row r="108">
          <cell r="B108" t="str">
            <v>telemetering etc.&amp; sending s/ss reqmnt</v>
          </cell>
        </row>
        <row r="109">
          <cell r="B109" t="str">
            <v>telemetering etc.&amp; sending s/ss reqmnt</v>
          </cell>
        </row>
        <row r="110">
          <cell r="A110">
            <v>1</v>
          </cell>
          <cell r="B110" t="str">
            <v>Carrier cabinet</v>
          </cell>
          <cell r="C110">
            <v>0</v>
          </cell>
          <cell r="D110">
            <v>3.5</v>
          </cell>
          <cell r="E110">
            <v>0</v>
          </cell>
          <cell r="F110">
            <v>3.5709999999999999E-2</v>
          </cell>
          <cell r="G110">
            <v>0</v>
          </cell>
          <cell r="H110">
            <v>3.5357099999999999</v>
          </cell>
          <cell r="I110">
            <v>0</v>
          </cell>
        </row>
        <row r="111">
          <cell r="A111">
            <v>2</v>
          </cell>
          <cell r="B111" t="str">
            <v>Coupling Devices (LMU)</v>
          </cell>
          <cell r="C111">
            <v>0</v>
          </cell>
          <cell r="D111">
            <v>0.8</v>
          </cell>
          <cell r="E111">
            <v>0</v>
          </cell>
          <cell r="F111">
            <v>0</v>
          </cell>
          <cell r="G111">
            <v>0</v>
          </cell>
          <cell r="H111">
            <v>0.8</v>
          </cell>
          <cell r="I111">
            <v>0</v>
          </cell>
        </row>
        <row r="112">
          <cell r="A112">
            <v>3</v>
          </cell>
          <cell r="B112" t="str">
            <v>Protection coupler</v>
          </cell>
          <cell r="C112">
            <v>0</v>
          </cell>
          <cell r="D112">
            <v>1.7</v>
          </cell>
          <cell r="E112">
            <v>0</v>
          </cell>
          <cell r="F112">
            <v>0</v>
          </cell>
          <cell r="G112">
            <v>0</v>
          </cell>
          <cell r="H112">
            <v>1.7</v>
          </cell>
          <cell r="I112">
            <v>0</v>
          </cell>
        </row>
        <row r="113">
          <cell r="A113">
            <v>4</v>
          </cell>
          <cell r="B113" t="str">
            <v>EPAX</v>
          </cell>
          <cell r="C113">
            <v>0</v>
          </cell>
          <cell r="D113">
            <v>2.5</v>
          </cell>
          <cell r="E113">
            <v>0</v>
          </cell>
          <cell r="F113">
            <v>0</v>
          </cell>
          <cell r="G113">
            <v>0</v>
          </cell>
          <cell r="H113">
            <v>2.5</v>
          </cell>
          <cell r="I113">
            <v>0</v>
          </cell>
        </row>
        <row r="114">
          <cell r="A114">
            <v>5</v>
          </cell>
          <cell r="B114" t="str">
            <v>Telephone Sets</v>
          </cell>
          <cell r="C114">
            <v>0</v>
          </cell>
          <cell r="D114">
            <v>0.01</v>
          </cell>
          <cell r="E114">
            <v>0</v>
          </cell>
          <cell r="F114">
            <v>0</v>
          </cell>
          <cell r="G114">
            <v>0</v>
          </cell>
          <cell r="H114">
            <v>0.01</v>
          </cell>
          <cell r="I114">
            <v>0</v>
          </cell>
        </row>
        <row r="115">
          <cell r="A115">
            <v>6</v>
          </cell>
          <cell r="B115" t="str">
            <v>Coxial Cable (KM)</v>
          </cell>
          <cell r="C115">
            <v>0</v>
          </cell>
          <cell r="D115">
            <v>0.8</v>
          </cell>
          <cell r="E115">
            <v>0</v>
          </cell>
          <cell r="F115">
            <v>0</v>
          </cell>
          <cell r="G115">
            <v>0</v>
          </cell>
          <cell r="H115">
            <v>0.8</v>
          </cell>
          <cell r="I115">
            <v>0</v>
          </cell>
        </row>
        <row r="116">
          <cell r="A116">
            <v>7</v>
          </cell>
          <cell r="B116" t="str">
            <v>Telephone Cable</v>
          </cell>
          <cell r="C116">
            <v>0</v>
          </cell>
          <cell r="D116">
            <v>0.25</v>
          </cell>
          <cell r="E116">
            <v>0</v>
          </cell>
          <cell r="F116">
            <v>0</v>
          </cell>
          <cell r="G116">
            <v>0</v>
          </cell>
          <cell r="H116">
            <v>0.25</v>
          </cell>
          <cell r="I116">
            <v>0</v>
          </cell>
        </row>
        <row r="117">
          <cell r="A117">
            <v>8</v>
          </cell>
          <cell r="B117" t="str">
            <v>220kV Wave Trap</v>
          </cell>
          <cell r="C117">
            <v>0</v>
          </cell>
          <cell r="D117">
            <v>1.5</v>
          </cell>
          <cell r="E117">
            <v>0</v>
          </cell>
          <cell r="F117">
            <v>0</v>
          </cell>
          <cell r="G117">
            <v>0</v>
          </cell>
          <cell r="H117">
            <v>1.5</v>
          </cell>
          <cell r="I117">
            <v>0</v>
          </cell>
        </row>
        <row r="118">
          <cell r="A118">
            <v>9</v>
          </cell>
          <cell r="B118" t="str">
            <v>132kV Wave Trap</v>
          </cell>
          <cell r="C118">
            <v>0</v>
          </cell>
          <cell r="D118">
            <v>1</v>
          </cell>
          <cell r="E118">
            <v>0</v>
          </cell>
          <cell r="F118">
            <v>0</v>
          </cell>
          <cell r="G118">
            <v>0</v>
          </cell>
          <cell r="H118">
            <v>1</v>
          </cell>
          <cell r="I118">
            <v>0</v>
          </cell>
        </row>
        <row r="119">
          <cell r="A119">
            <v>10</v>
          </cell>
          <cell r="B119" t="str">
            <v>220kV CVT</v>
          </cell>
          <cell r="C119">
            <v>0</v>
          </cell>
          <cell r="D119">
            <v>2.5</v>
          </cell>
          <cell r="E119">
            <v>0</v>
          </cell>
          <cell r="F119">
            <v>0</v>
          </cell>
          <cell r="G119">
            <v>0</v>
          </cell>
          <cell r="H119">
            <v>2.5</v>
          </cell>
          <cell r="I119">
            <v>0</v>
          </cell>
        </row>
        <row r="120">
          <cell r="A120">
            <v>11</v>
          </cell>
          <cell r="B120" t="str">
            <v>132kV Coupling Capacitors</v>
          </cell>
          <cell r="C120">
            <v>0</v>
          </cell>
          <cell r="D120">
            <v>1</v>
          </cell>
          <cell r="E120">
            <v>0</v>
          </cell>
          <cell r="F120">
            <v>0</v>
          </cell>
          <cell r="G120">
            <v>0</v>
          </cell>
          <cell r="H120">
            <v>1</v>
          </cell>
          <cell r="I120">
            <v>0</v>
          </cell>
        </row>
        <row r="121">
          <cell r="A121">
            <v>11</v>
          </cell>
          <cell r="B121" t="str">
            <v>132kV Coupling Capacitors</v>
          </cell>
          <cell r="C121">
            <v>0</v>
          </cell>
          <cell r="D121">
            <v>1</v>
          </cell>
          <cell r="E121">
            <v>0</v>
          </cell>
          <cell r="F121">
            <v>0</v>
          </cell>
          <cell r="G121">
            <v>0</v>
          </cell>
          <cell r="H121">
            <v>1</v>
          </cell>
          <cell r="I121">
            <v>0</v>
          </cell>
        </row>
        <row r="122">
          <cell r="B122" t="str">
            <v>SUB TOTAL (E)</v>
          </cell>
          <cell r="C122">
            <v>0</v>
          </cell>
          <cell r="D122">
            <v>0</v>
          </cell>
          <cell r="E122">
            <v>0</v>
          </cell>
          <cell r="F122">
            <v>0</v>
          </cell>
          <cell r="G122">
            <v>0</v>
          </cell>
          <cell r="H122">
            <v>0</v>
          </cell>
          <cell r="I122">
            <v>0</v>
          </cell>
        </row>
        <row r="123">
          <cell r="I123">
            <v>0</v>
          </cell>
        </row>
        <row r="124">
          <cell r="A124" t="str">
            <v>(F-I)</v>
          </cell>
          <cell r="B124" t="str">
            <v>220KV Structures</v>
          </cell>
          <cell r="C124" t="str">
            <v>Weight of Steel in MT</v>
          </cell>
        </row>
        <row r="125">
          <cell r="A125" t="str">
            <v>(F-I)</v>
          </cell>
          <cell r="B125" t="str">
            <v>220KV Structures</v>
          </cell>
          <cell r="C125" t="str">
            <v>Weight of Steel in MT</v>
          </cell>
        </row>
        <row r="126">
          <cell r="A126">
            <v>1</v>
          </cell>
          <cell r="B126" t="str">
            <v>Gantry Column(AGT)</v>
          </cell>
          <cell r="C126">
            <v>0</v>
          </cell>
          <cell r="D126">
            <v>3.6</v>
          </cell>
          <cell r="E126">
            <v>0</v>
          </cell>
        </row>
        <row r="127">
          <cell r="A127">
            <v>2</v>
          </cell>
          <cell r="B127" t="str">
            <v>Gantry Column(AAGT)</v>
          </cell>
          <cell r="C127">
            <v>0</v>
          </cell>
          <cell r="D127">
            <v>5.31</v>
          </cell>
          <cell r="E127">
            <v>0</v>
          </cell>
        </row>
        <row r="128">
          <cell r="A128">
            <v>3</v>
          </cell>
          <cell r="B128" t="str">
            <v>Gantry Beam(AGB)</v>
          </cell>
          <cell r="C128">
            <v>0</v>
          </cell>
          <cell r="D128">
            <v>1.23</v>
          </cell>
          <cell r="E128">
            <v>0</v>
          </cell>
        </row>
        <row r="129">
          <cell r="A129">
            <v>4</v>
          </cell>
          <cell r="B129" t="str">
            <v>Main Busbar Structure(ABM)</v>
          </cell>
          <cell r="C129">
            <v>0</v>
          </cell>
          <cell r="D129">
            <v>2.411</v>
          </cell>
          <cell r="E129">
            <v>0</v>
          </cell>
        </row>
        <row r="130">
          <cell r="A130">
            <v>5</v>
          </cell>
          <cell r="B130" t="str">
            <v>Auxiliary Busbar structure(ABA)</v>
          </cell>
          <cell r="C130">
            <v>0</v>
          </cell>
          <cell r="D130">
            <v>2.327</v>
          </cell>
          <cell r="E130">
            <v>0</v>
          </cell>
        </row>
        <row r="131">
          <cell r="A131">
            <v>6</v>
          </cell>
          <cell r="B131" t="str">
            <v>CT structure</v>
          </cell>
          <cell r="C131">
            <v>0</v>
          </cell>
          <cell r="D131">
            <v>0.27</v>
          </cell>
          <cell r="E131">
            <v>0</v>
          </cell>
        </row>
        <row r="132">
          <cell r="A132">
            <v>7</v>
          </cell>
          <cell r="B132" t="str">
            <v>LA structure</v>
          </cell>
          <cell r="C132">
            <v>0</v>
          </cell>
          <cell r="D132">
            <v>0.13</v>
          </cell>
          <cell r="E132">
            <v>0</v>
          </cell>
        </row>
        <row r="133">
          <cell r="A133">
            <v>8</v>
          </cell>
          <cell r="B133" t="str">
            <v>Post/Solid Core structure</v>
          </cell>
          <cell r="C133">
            <v>0</v>
          </cell>
          <cell r="D133">
            <v>0.21</v>
          </cell>
          <cell r="E133">
            <v>0</v>
          </cell>
        </row>
        <row r="134">
          <cell r="A134">
            <v>9</v>
          </cell>
          <cell r="B134" t="str">
            <v>Isolator structure</v>
          </cell>
          <cell r="C134">
            <v>0</v>
          </cell>
          <cell r="D134">
            <v>2.056</v>
          </cell>
          <cell r="E134">
            <v>0</v>
          </cell>
        </row>
        <row r="135">
          <cell r="A135">
            <v>10</v>
          </cell>
          <cell r="B135" t="str">
            <v>PT/CVT structure</v>
          </cell>
          <cell r="C135">
            <v>0</v>
          </cell>
          <cell r="D135">
            <v>0.27</v>
          </cell>
          <cell r="E135">
            <v>0</v>
          </cell>
        </row>
        <row r="136">
          <cell r="A136">
            <v>10</v>
          </cell>
          <cell r="B136" t="str">
            <v>PT/CVT structure</v>
          </cell>
          <cell r="C136">
            <v>0</v>
          </cell>
          <cell r="D136">
            <v>0.27</v>
          </cell>
          <cell r="E136">
            <v>0</v>
          </cell>
        </row>
        <row r="137">
          <cell r="B137" t="str">
            <v>SUB TOTAL (F-I)</v>
          </cell>
          <cell r="C137">
            <v>0</v>
          </cell>
          <cell r="D137">
            <v>0</v>
          </cell>
          <cell r="E137">
            <v>0</v>
          </cell>
        </row>
        <row r="138">
          <cell r="E138">
            <v>0</v>
          </cell>
        </row>
        <row r="139">
          <cell r="A139" t="str">
            <v>(F-II)</v>
          </cell>
          <cell r="B139" t="str">
            <v>132KV STRUCTURE</v>
          </cell>
        </row>
        <row r="140">
          <cell r="A140" t="str">
            <v>(F-II)</v>
          </cell>
          <cell r="B140" t="str">
            <v>132KV STRUCTURE</v>
          </cell>
        </row>
        <row r="141">
          <cell r="A141">
            <v>1</v>
          </cell>
          <cell r="B141" t="str">
            <v>Gantry Column</v>
          </cell>
          <cell r="C141">
            <v>4</v>
          </cell>
          <cell r="D141">
            <v>1.9770000000000001</v>
          </cell>
          <cell r="E141">
            <v>7.9080000000000004</v>
          </cell>
        </row>
        <row r="142">
          <cell r="A142">
            <v>2</v>
          </cell>
          <cell r="B142" t="str">
            <v xml:space="preserve">Gantry Beam    </v>
          </cell>
          <cell r="C142">
            <v>3</v>
          </cell>
          <cell r="D142">
            <v>1.0649999999999999</v>
          </cell>
          <cell r="E142">
            <v>3.1949999999999998</v>
          </cell>
        </row>
        <row r="143">
          <cell r="A143">
            <v>3</v>
          </cell>
          <cell r="B143" t="str">
            <v xml:space="preserve">Main busbar structure    </v>
          </cell>
          <cell r="C143">
            <v>1</v>
          </cell>
          <cell r="D143">
            <v>1.5429999999999999</v>
          </cell>
          <cell r="E143">
            <v>1.5429999999999999</v>
          </cell>
        </row>
        <row r="144">
          <cell r="A144">
            <v>4</v>
          </cell>
          <cell r="B144" t="str">
            <v>Aux. Busbar Structure</v>
          </cell>
          <cell r="C144">
            <v>0</v>
          </cell>
          <cell r="D144">
            <v>0.90500000000000003</v>
          </cell>
          <cell r="E144">
            <v>0</v>
          </cell>
        </row>
        <row r="145">
          <cell r="A145">
            <v>5</v>
          </cell>
          <cell r="B145" t="str">
            <v>CT structure</v>
          </cell>
          <cell r="C145">
            <v>3</v>
          </cell>
          <cell r="D145">
            <v>0.23499999999999999</v>
          </cell>
          <cell r="E145">
            <v>0.70499999999999996</v>
          </cell>
        </row>
        <row r="146">
          <cell r="A146">
            <v>6</v>
          </cell>
          <cell r="B146" t="str">
            <v>LA structure</v>
          </cell>
          <cell r="C146">
            <v>3</v>
          </cell>
          <cell r="D146">
            <v>0.17100000000000001</v>
          </cell>
          <cell r="E146">
            <v>0.51300000000000001</v>
          </cell>
        </row>
        <row r="147">
          <cell r="A147">
            <v>7</v>
          </cell>
          <cell r="B147" t="str">
            <v>Post /Solid Core structure</v>
          </cell>
          <cell r="C147">
            <v>3</v>
          </cell>
          <cell r="D147">
            <v>0.20300000000000001</v>
          </cell>
          <cell r="E147">
            <v>0.60899999999999999</v>
          </cell>
        </row>
        <row r="148">
          <cell r="A148">
            <v>8</v>
          </cell>
          <cell r="B148" t="str">
            <v>Isolator structure</v>
          </cell>
          <cell r="C148">
            <v>3</v>
          </cell>
          <cell r="D148">
            <v>1.4419999999999999</v>
          </cell>
          <cell r="E148">
            <v>4.3259999999999996</v>
          </cell>
        </row>
        <row r="149">
          <cell r="A149">
            <v>9</v>
          </cell>
          <cell r="B149" t="str">
            <v>Coupling capacitor</v>
          </cell>
          <cell r="C149">
            <v>0</v>
          </cell>
          <cell r="D149">
            <v>0.17499999999999999</v>
          </cell>
          <cell r="E149">
            <v>0</v>
          </cell>
        </row>
        <row r="150">
          <cell r="A150">
            <v>10</v>
          </cell>
          <cell r="B150" t="str">
            <v>PT structure</v>
          </cell>
          <cell r="C150">
            <v>0</v>
          </cell>
          <cell r="D150">
            <v>0.22700000000000001</v>
          </cell>
          <cell r="E150">
            <v>0</v>
          </cell>
        </row>
        <row r="151">
          <cell r="A151">
            <v>10</v>
          </cell>
          <cell r="B151" t="str">
            <v>PT structure</v>
          </cell>
          <cell r="C151">
            <v>0</v>
          </cell>
          <cell r="D151">
            <v>0.22700000000000001</v>
          </cell>
          <cell r="E151">
            <v>0</v>
          </cell>
        </row>
        <row r="152">
          <cell r="B152" t="str">
            <v>SUB TOTAL (F-II)</v>
          </cell>
          <cell r="C152">
            <v>0</v>
          </cell>
          <cell r="D152">
            <v>0</v>
          </cell>
          <cell r="E152">
            <v>18.798999999999999</v>
          </cell>
        </row>
        <row r="153">
          <cell r="E153">
            <v>18.798999999999999</v>
          </cell>
        </row>
        <row r="154">
          <cell r="A154" t="str">
            <v>(F-III)</v>
          </cell>
          <cell r="B154" t="str">
            <v>33KV STRUCTURE</v>
          </cell>
        </row>
        <row r="155">
          <cell r="A155" t="str">
            <v>(F-III)</v>
          </cell>
          <cell r="B155" t="str">
            <v>33KV STRUCTURE</v>
          </cell>
        </row>
        <row r="156">
          <cell r="A156">
            <v>1</v>
          </cell>
          <cell r="B156" t="str">
            <v>Gantry Column</v>
          </cell>
          <cell r="C156">
            <v>2</v>
          </cell>
          <cell r="D156">
            <v>0.502</v>
          </cell>
          <cell r="E156">
            <v>1.004</v>
          </cell>
        </row>
        <row r="157">
          <cell r="A157">
            <v>2</v>
          </cell>
          <cell r="B157" t="str">
            <v>Gantry Beam</v>
          </cell>
          <cell r="C157">
            <v>2</v>
          </cell>
          <cell r="D157">
            <v>0.28999999999999998</v>
          </cell>
          <cell r="E157">
            <v>0.57999999999999996</v>
          </cell>
        </row>
        <row r="158">
          <cell r="A158">
            <v>3</v>
          </cell>
          <cell r="B158" t="str">
            <v>Main Busbar Structure</v>
          </cell>
          <cell r="C158">
            <v>1</v>
          </cell>
          <cell r="D158">
            <v>0.86899999999999999</v>
          </cell>
          <cell r="E158">
            <v>0.86899999999999999</v>
          </cell>
        </row>
        <row r="159">
          <cell r="A159">
            <v>4</v>
          </cell>
          <cell r="B159" t="str">
            <v>Aux.Busbar Structure</v>
          </cell>
          <cell r="C159">
            <v>0</v>
          </cell>
          <cell r="D159">
            <v>0.71199999999999997</v>
          </cell>
          <cell r="E159">
            <v>0</v>
          </cell>
        </row>
        <row r="160">
          <cell r="A160">
            <v>5</v>
          </cell>
          <cell r="B160" t="str">
            <v>CT Structure</v>
          </cell>
          <cell r="C160">
            <v>3</v>
          </cell>
          <cell r="D160">
            <v>0.1</v>
          </cell>
          <cell r="E160">
            <v>0.30000000000000004</v>
          </cell>
        </row>
        <row r="161">
          <cell r="A161">
            <v>6</v>
          </cell>
          <cell r="B161" t="str">
            <v>LA structure</v>
          </cell>
          <cell r="C161">
            <v>3</v>
          </cell>
          <cell r="D161">
            <v>0.1</v>
          </cell>
          <cell r="E161">
            <v>0.30000000000000004</v>
          </cell>
        </row>
        <row r="162">
          <cell r="A162">
            <v>7</v>
          </cell>
          <cell r="B162" t="str">
            <v>Isolator structure</v>
          </cell>
          <cell r="C162">
            <v>2</v>
          </cell>
          <cell r="D162">
            <v>0.35799999999999998</v>
          </cell>
          <cell r="E162">
            <v>0.71599999999999997</v>
          </cell>
        </row>
        <row r="163">
          <cell r="A163">
            <v>8</v>
          </cell>
          <cell r="B163" t="str">
            <v>PT structure</v>
          </cell>
          <cell r="C163">
            <v>0</v>
          </cell>
          <cell r="D163">
            <v>0.1</v>
          </cell>
          <cell r="E163">
            <v>0</v>
          </cell>
        </row>
        <row r="164">
          <cell r="A164">
            <v>9</v>
          </cell>
          <cell r="B164" t="str">
            <v>Post Insulator structure</v>
          </cell>
          <cell r="C164">
            <v>0</v>
          </cell>
          <cell r="D164">
            <v>0.1</v>
          </cell>
          <cell r="E164">
            <v>0</v>
          </cell>
        </row>
        <row r="165">
          <cell r="A165">
            <v>9</v>
          </cell>
          <cell r="B165" t="str">
            <v>Post Insulator structure</v>
          </cell>
          <cell r="C165">
            <v>0</v>
          </cell>
          <cell r="D165">
            <v>0.1</v>
          </cell>
          <cell r="E165">
            <v>0</v>
          </cell>
        </row>
        <row r="166">
          <cell r="B166" t="str">
            <v>SUB TOTAL (F-III)</v>
          </cell>
          <cell r="C166">
            <v>0</v>
          </cell>
          <cell r="D166">
            <v>0</v>
          </cell>
          <cell r="E166">
            <v>3.7690000000000001</v>
          </cell>
        </row>
        <row r="167">
          <cell r="G167" t="str">
            <v>LS</v>
          </cell>
        </row>
        <row r="168">
          <cell r="B168" t="str">
            <v>SUB TOTAL F(I)+F(II)+F(III)</v>
          </cell>
          <cell r="C168">
            <v>0</v>
          </cell>
          <cell r="D168">
            <v>0</v>
          </cell>
          <cell r="E168">
            <v>22.567999999999998</v>
          </cell>
        </row>
        <row r="169">
          <cell r="E169">
            <v>22.568000000000001</v>
          </cell>
        </row>
        <row r="170">
          <cell r="B170" t="str">
            <v>TOTAL  COST OF STEEL (F)</v>
          </cell>
          <cell r="C170">
            <v>22.567999999999998</v>
          </cell>
          <cell r="D170">
            <v>0.26096326530612241</v>
          </cell>
          <cell r="E170">
            <v>5.8894189714285696</v>
          </cell>
          <cell r="F170">
            <v>9.0938775510204083E-3</v>
          </cell>
          <cell r="G170">
            <v>0.20523062857142857</v>
          </cell>
          <cell r="H170">
            <v>0.27005714285714283</v>
          </cell>
          <cell r="I170">
            <v>6.0946495999999986</v>
          </cell>
        </row>
        <row r="171">
          <cell r="B171" t="str">
            <v>TOTAL  COST OF STEEL (F)</v>
          </cell>
          <cell r="C171">
            <v>22.568000000000001</v>
          </cell>
          <cell r="D171">
            <v>0.260963</v>
          </cell>
          <cell r="E171">
            <v>5.8894190000000002</v>
          </cell>
          <cell r="F171">
            <v>9.0939999999999997E-3</v>
          </cell>
          <cell r="G171">
            <v>0.205231</v>
          </cell>
          <cell r="H171">
            <v>0.27005699999999999</v>
          </cell>
          <cell r="I171">
            <v>6.0946499999999997</v>
          </cell>
        </row>
        <row r="172">
          <cell r="A172" t="str">
            <v>G</v>
          </cell>
          <cell r="B172" t="str">
            <v>BUSBAR, EARTHING MATERIAL</v>
          </cell>
          <cell r="C172">
            <v>0</v>
          </cell>
          <cell r="D172">
            <v>0</v>
          </cell>
          <cell r="E172">
            <v>0</v>
          </cell>
          <cell r="F172">
            <v>0</v>
          </cell>
          <cell r="G172">
            <v>0</v>
          </cell>
          <cell r="H172">
            <v>0</v>
          </cell>
          <cell r="I172" t="str">
            <v xml:space="preserve"> </v>
          </cell>
        </row>
        <row r="173">
          <cell r="I173"/>
        </row>
        <row r="174">
          <cell r="A174">
            <v>1</v>
          </cell>
          <cell r="B174" t="str">
            <v>Zebra conductor  (in Kms)</v>
          </cell>
          <cell r="C174">
            <v>1</v>
          </cell>
          <cell r="D174">
            <v>1.0555000000000001</v>
          </cell>
          <cell r="E174">
            <v>1.0555000000000001</v>
          </cell>
          <cell r="F174">
            <v>5.5100000000000003E-2</v>
          </cell>
          <cell r="G174">
            <v>5.5100000000000003E-2</v>
          </cell>
          <cell r="H174">
            <v>1.1106</v>
          </cell>
          <cell r="I174">
            <v>1.1106</v>
          </cell>
        </row>
        <row r="175">
          <cell r="A175">
            <v>2</v>
          </cell>
          <cell r="B175" t="str">
            <v>M.S.Flat for earthing/earthing rods (in MT)</v>
          </cell>
          <cell r="C175">
            <v>2</v>
          </cell>
          <cell r="D175">
            <v>0.21840000000000001</v>
          </cell>
          <cell r="E175">
            <v>0.43680000000000002</v>
          </cell>
          <cell r="F175">
            <v>8.2000000000000007E-3</v>
          </cell>
          <cell r="G175">
            <v>1.6400000000000001E-2</v>
          </cell>
          <cell r="H175">
            <v>0.22660000000000002</v>
          </cell>
          <cell r="I175">
            <v>0.45320000000000005</v>
          </cell>
        </row>
        <row r="176">
          <cell r="A176">
            <v>3</v>
          </cell>
          <cell r="B176" t="str">
            <v>Clamps &amp; Connectors</v>
          </cell>
          <cell r="C176">
            <v>40</v>
          </cell>
          <cell r="D176">
            <v>6.3E-3</v>
          </cell>
          <cell r="E176">
            <v>0.252</v>
          </cell>
          <cell r="F176">
            <v>1.6000000000000001E-3</v>
          </cell>
          <cell r="G176">
            <v>6.4000000000000001E-2</v>
          </cell>
          <cell r="H176">
            <v>7.9000000000000008E-3</v>
          </cell>
          <cell r="I176">
            <v>0.316</v>
          </cell>
        </row>
        <row r="177">
          <cell r="A177">
            <v>4</v>
          </cell>
          <cell r="B177" t="str">
            <v>Power &amp; Control Cable</v>
          </cell>
          <cell r="C177">
            <v>2.5</v>
          </cell>
          <cell r="D177">
            <v>0.38729999999999998</v>
          </cell>
          <cell r="E177">
            <v>0.96824999999999994</v>
          </cell>
          <cell r="F177">
            <v>1.0800000000000001E-2</v>
          </cell>
          <cell r="G177">
            <v>2.7000000000000003E-2</v>
          </cell>
          <cell r="H177">
            <v>0.39809999999999995</v>
          </cell>
          <cell r="I177">
            <v>0.99524999999999997</v>
          </cell>
        </row>
        <row r="178">
          <cell r="A178">
            <v>5</v>
          </cell>
          <cell r="B178" t="str">
            <v>Screening conductor</v>
          </cell>
          <cell r="C178" t="str">
            <v>LS</v>
          </cell>
          <cell r="D178">
            <v>0.2</v>
          </cell>
          <cell r="E178">
            <v>0.2</v>
          </cell>
          <cell r="F178">
            <v>0</v>
          </cell>
          <cell r="G178">
            <v>0</v>
          </cell>
          <cell r="H178" t="str">
            <v>LS</v>
          </cell>
          <cell r="I178">
            <v>0.2</v>
          </cell>
        </row>
        <row r="179">
          <cell r="A179">
            <v>6</v>
          </cell>
          <cell r="B179" t="str">
            <v>Junction Box etc. &amp; Misc.expendtirues</v>
          </cell>
          <cell r="C179" t="str">
            <v>LS</v>
          </cell>
          <cell r="D179">
            <v>0.5</v>
          </cell>
          <cell r="E179">
            <v>0.5</v>
          </cell>
          <cell r="F179">
            <v>0</v>
          </cell>
          <cell r="G179">
            <v>0</v>
          </cell>
          <cell r="H179" t="str">
            <v>LS</v>
          </cell>
          <cell r="I179">
            <v>0.5</v>
          </cell>
        </row>
        <row r="180">
          <cell r="A180">
            <v>7</v>
          </cell>
          <cell r="B180" t="str">
            <v>Fire fighting equipments</v>
          </cell>
          <cell r="C180" t="str">
            <v>LS</v>
          </cell>
          <cell r="D180">
            <v>0</v>
          </cell>
          <cell r="E180">
            <v>0</v>
          </cell>
          <cell r="F180">
            <v>0</v>
          </cell>
          <cell r="G180">
            <v>0</v>
          </cell>
          <cell r="H180" t="str">
            <v>LS</v>
          </cell>
          <cell r="I180">
            <v>0</v>
          </cell>
        </row>
        <row r="181">
          <cell r="A181">
            <v>8</v>
          </cell>
          <cell r="B181" t="str">
            <v>Aluminium/Red Oxide Paint and Nut,Bolt,Washers &amp; other misc. material</v>
          </cell>
          <cell r="C181" t="str">
            <v>LS</v>
          </cell>
          <cell r="D181">
            <v>0</v>
          </cell>
          <cell r="E181">
            <v>0</v>
          </cell>
          <cell r="F181">
            <v>0.1</v>
          </cell>
          <cell r="G181">
            <v>0.1</v>
          </cell>
          <cell r="H181" t="str">
            <v>LS</v>
          </cell>
          <cell r="I181">
            <v>0.1</v>
          </cell>
        </row>
        <row r="182">
          <cell r="E182">
            <v>0</v>
          </cell>
          <cell r="F182">
            <v>0.1</v>
          </cell>
          <cell r="G182">
            <v>0.1</v>
          </cell>
          <cell r="H182" t="str">
            <v>LS</v>
          </cell>
          <cell r="I182">
            <v>0.1</v>
          </cell>
        </row>
        <row r="183">
          <cell r="B183" t="str">
            <v>SUB TOTAL (G)</v>
          </cell>
          <cell r="C183">
            <v>0</v>
          </cell>
          <cell r="D183">
            <v>0</v>
          </cell>
          <cell r="E183">
            <v>3.4125500000000004</v>
          </cell>
          <cell r="F183">
            <v>0</v>
          </cell>
          <cell r="G183">
            <v>0.26250000000000001</v>
          </cell>
          <cell r="H183">
            <v>0</v>
          </cell>
          <cell r="I183">
            <v>3.6750500000000001</v>
          </cell>
        </row>
        <row r="184">
          <cell r="I184">
            <v>3.6750500000000001</v>
          </cell>
        </row>
        <row r="185">
          <cell r="A185" t="str">
            <v>H</v>
          </cell>
          <cell r="B185" t="str">
            <v>AC/DC SUPPLY</v>
          </cell>
          <cell r="C185">
            <v>0</v>
          </cell>
          <cell r="D185">
            <v>0</v>
          </cell>
          <cell r="E185">
            <v>0</v>
          </cell>
          <cell r="F185">
            <v>0</v>
          </cell>
          <cell r="G185">
            <v>0</v>
          </cell>
          <cell r="H185">
            <v>0</v>
          </cell>
          <cell r="I185" t="str">
            <v xml:space="preserve"> </v>
          </cell>
        </row>
        <row r="186">
          <cell r="I186"/>
        </row>
        <row r="187">
          <cell r="A187">
            <v>1</v>
          </cell>
          <cell r="B187" t="str">
            <v>Station Transformer,200KVA,33/0.4KV</v>
          </cell>
          <cell r="C187">
            <v>0</v>
          </cell>
          <cell r="D187">
            <v>2.2999999999999998</v>
          </cell>
          <cell r="E187">
            <v>0</v>
          </cell>
          <cell r="F187">
            <v>0.50600000000000001</v>
          </cell>
          <cell r="G187">
            <v>0</v>
          </cell>
          <cell r="H187">
            <v>2.806</v>
          </cell>
          <cell r="I187">
            <v>0</v>
          </cell>
        </row>
        <row r="188">
          <cell r="A188">
            <v>2</v>
          </cell>
          <cell r="B188" t="str">
            <v>110Volt 300Ah battery</v>
          </cell>
          <cell r="C188">
            <v>0</v>
          </cell>
          <cell r="D188">
            <v>0.65</v>
          </cell>
          <cell r="E188">
            <v>0</v>
          </cell>
          <cell r="F188">
            <v>0.14299999999999999</v>
          </cell>
          <cell r="G188">
            <v>0</v>
          </cell>
          <cell r="H188">
            <v>0.79300000000000004</v>
          </cell>
          <cell r="I188">
            <v>0</v>
          </cell>
        </row>
        <row r="189">
          <cell r="A189">
            <v>3</v>
          </cell>
          <cell r="B189" t="str">
            <v>110Volt 300Ah Battery charger</v>
          </cell>
          <cell r="C189">
            <v>0</v>
          </cell>
          <cell r="D189">
            <v>1.2</v>
          </cell>
          <cell r="E189">
            <v>0</v>
          </cell>
          <cell r="F189">
            <v>0.26400000000000001</v>
          </cell>
          <cell r="G189">
            <v>0</v>
          </cell>
          <cell r="H189">
            <v>1.464</v>
          </cell>
          <cell r="I189">
            <v>0</v>
          </cell>
        </row>
        <row r="190">
          <cell r="A190">
            <v>4</v>
          </cell>
          <cell r="B190" t="str">
            <v>48Volt 300Ah Battery</v>
          </cell>
          <cell r="C190">
            <v>0</v>
          </cell>
          <cell r="D190">
            <v>0.65</v>
          </cell>
          <cell r="E190">
            <v>0</v>
          </cell>
          <cell r="F190">
            <v>0.14299999999999999</v>
          </cell>
          <cell r="G190">
            <v>0</v>
          </cell>
          <cell r="H190">
            <v>0.79300000000000004</v>
          </cell>
          <cell r="I190">
            <v>0</v>
          </cell>
        </row>
        <row r="191">
          <cell r="A191">
            <v>5</v>
          </cell>
          <cell r="B191" t="str">
            <v>48Volt 300Ah Battery charger</v>
          </cell>
          <cell r="C191">
            <v>0</v>
          </cell>
          <cell r="D191">
            <v>1.2</v>
          </cell>
          <cell r="E191">
            <v>0</v>
          </cell>
          <cell r="F191">
            <v>0.26400000000000001</v>
          </cell>
          <cell r="G191">
            <v>0</v>
          </cell>
          <cell r="H191">
            <v>1.464</v>
          </cell>
          <cell r="I191">
            <v>0</v>
          </cell>
        </row>
        <row r="192">
          <cell r="A192">
            <v>6</v>
          </cell>
          <cell r="B192" t="str">
            <v>AC/DC Distribution Boxes 415Volt</v>
          </cell>
          <cell r="C192">
            <v>0</v>
          </cell>
          <cell r="D192">
            <v>0</v>
          </cell>
          <cell r="E192">
            <v>0</v>
          </cell>
          <cell r="F192">
            <v>1.25</v>
          </cell>
          <cell r="G192">
            <v>0</v>
          </cell>
          <cell r="H192">
            <v>1.25</v>
          </cell>
          <cell r="I192">
            <v>0</v>
          </cell>
        </row>
        <row r="193">
          <cell r="A193">
            <v>7</v>
          </cell>
          <cell r="B193" t="str">
            <v>Arrangement of Lighting in S/s</v>
          </cell>
          <cell r="C193" t="str">
            <v>LS</v>
          </cell>
          <cell r="D193">
            <v>0</v>
          </cell>
          <cell r="E193">
            <v>0</v>
          </cell>
          <cell r="F193">
            <v>0</v>
          </cell>
          <cell r="G193">
            <v>0</v>
          </cell>
          <cell r="H193" t="str">
            <v>LS</v>
          </cell>
          <cell r="I193">
            <v>0</v>
          </cell>
        </row>
        <row r="194">
          <cell r="E194">
            <v>0</v>
          </cell>
          <cell r="F194">
            <v>0</v>
          </cell>
          <cell r="G194">
            <v>0</v>
          </cell>
          <cell r="H194" t="str">
            <v>LS</v>
          </cell>
          <cell r="I194">
            <v>0</v>
          </cell>
        </row>
        <row r="195">
          <cell r="B195" t="str">
            <v>SUB TOTAL (H)</v>
          </cell>
          <cell r="C195">
            <v>0</v>
          </cell>
          <cell r="D195">
            <v>0</v>
          </cell>
          <cell r="E195">
            <v>0</v>
          </cell>
          <cell r="F195">
            <v>0</v>
          </cell>
          <cell r="G195">
            <v>0</v>
          </cell>
          <cell r="H195">
            <v>0</v>
          </cell>
          <cell r="I195">
            <v>0</v>
          </cell>
        </row>
        <row r="196">
          <cell r="I196">
            <v>0</v>
          </cell>
        </row>
        <row r="197">
          <cell r="A197" t="str">
            <v>I</v>
          </cell>
          <cell r="B197" t="str">
            <v>CIVIL WORKS</v>
          </cell>
          <cell r="C197">
            <v>0</v>
          </cell>
          <cell r="D197">
            <v>0</v>
          </cell>
          <cell r="E197">
            <v>0</v>
          </cell>
          <cell r="F197">
            <v>0</v>
          </cell>
          <cell r="G197">
            <v>0</v>
          </cell>
          <cell r="H197">
            <v>0</v>
          </cell>
          <cell r="I197" t="str">
            <v xml:space="preserve"> </v>
          </cell>
        </row>
        <row r="198">
          <cell r="A198" t="str">
            <v xml:space="preserve"> </v>
          </cell>
          <cell r="B198" t="str">
            <v xml:space="preserve">Foundation work of </v>
          </cell>
          <cell r="C198">
            <v>0</v>
          </cell>
          <cell r="D198">
            <v>0</v>
          </cell>
          <cell r="E198">
            <v>0</v>
          </cell>
          <cell r="F198">
            <v>0</v>
          </cell>
          <cell r="G198">
            <v>0</v>
          </cell>
          <cell r="H198">
            <v>0</v>
          </cell>
          <cell r="I198" t="str">
            <v xml:space="preserve"> </v>
          </cell>
        </row>
        <row r="199">
          <cell r="I199"/>
        </row>
        <row r="200">
          <cell r="A200">
            <v>1</v>
          </cell>
          <cell r="B200" t="str">
            <v>Gantry Column(AGT)</v>
          </cell>
          <cell r="C200">
            <v>0</v>
          </cell>
          <cell r="D200">
            <v>0</v>
          </cell>
          <cell r="E200">
            <v>0</v>
          </cell>
          <cell r="F200">
            <v>0.28000000000000003</v>
          </cell>
          <cell r="G200">
            <v>0</v>
          </cell>
          <cell r="H200">
            <v>0.28000000000000003</v>
          </cell>
          <cell r="I200">
            <v>0</v>
          </cell>
        </row>
        <row r="201">
          <cell r="A201">
            <v>2</v>
          </cell>
          <cell r="B201" t="str">
            <v>Gantry Column(AAGT)</v>
          </cell>
          <cell r="C201">
            <v>0</v>
          </cell>
          <cell r="D201">
            <v>0</v>
          </cell>
          <cell r="E201">
            <v>0</v>
          </cell>
          <cell r="F201">
            <v>0.28000000000000003</v>
          </cell>
          <cell r="G201">
            <v>0</v>
          </cell>
          <cell r="H201">
            <v>0.28000000000000003</v>
          </cell>
          <cell r="I201">
            <v>0</v>
          </cell>
        </row>
        <row r="202">
          <cell r="A202">
            <v>3</v>
          </cell>
          <cell r="B202" t="str">
            <v>220KV Main Busbar</v>
          </cell>
          <cell r="C202">
            <v>0</v>
          </cell>
          <cell r="D202">
            <v>0</v>
          </cell>
          <cell r="E202">
            <v>0</v>
          </cell>
          <cell r="F202">
            <v>0.191</v>
          </cell>
          <cell r="G202">
            <v>0</v>
          </cell>
          <cell r="H202">
            <v>0.191</v>
          </cell>
          <cell r="I202">
            <v>0</v>
          </cell>
        </row>
        <row r="203">
          <cell r="A203">
            <v>4</v>
          </cell>
          <cell r="B203" t="str">
            <v xml:space="preserve">220KV Aux.Busbar </v>
          </cell>
          <cell r="C203">
            <v>0</v>
          </cell>
          <cell r="D203">
            <v>0</v>
          </cell>
          <cell r="E203">
            <v>0</v>
          </cell>
          <cell r="F203">
            <v>0.21</v>
          </cell>
          <cell r="G203">
            <v>0</v>
          </cell>
          <cell r="H203">
            <v>0.21</v>
          </cell>
          <cell r="I203">
            <v>0</v>
          </cell>
        </row>
        <row r="204">
          <cell r="A204">
            <v>5</v>
          </cell>
          <cell r="B204" t="str">
            <v>220KV Isolator</v>
          </cell>
          <cell r="C204">
            <v>0</v>
          </cell>
          <cell r="D204">
            <v>0</v>
          </cell>
          <cell r="E204">
            <v>0</v>
          </cell>
          <cell r="F204">
            <v>0.16500000000000001</v>
          </cell>
          <cell r="G204">
            <v>0</v>
          </cell>
          <cell r="H204">
            <v>0.16500000000000001</v>
          </cell>
          <cell r="I204">
            <v>0</v>
          </cell>
        </row>
        <row r="205">
          <cell r="A205">
            <v>6</v>
          </cell>
          <cell r="B205" t="str">
            <v>220KV CB</v>
          </cell>
          <cell r="C205">
            <v>0</v>
          </cell>
          <cell r="D205">
            <v>0</v>
          </cell>
          <cell r="E205">
            <v>0</v>
          </cell>
          <cell r="F205">
            <v>0.311</v>
          </cell>
          <cell r="G205">
            <v>0</v>
          </cell>
          <cell r="H205">
            <v>0.311</v>
          </cell>
          <cell r="I205">
            <v>0</v>
          </cell>
        </row>
        <row r="206">
          <cell r="A206">
            <v>7</v>
          </cell>
          <cell r="B206" t="str">
            <v>220KV CT</v>
          </cell>
          <cell r="C206">
            <v>0</v>
          </cell>
          <cell r="D206">
            <v>0</v>
          </cell>
          <cell r="E206">
            <v>0</v>
          </cell>
          <cell r="F206">
            <v>0.05</v>
          </cell>
          <cell r="G206">
            <v>0</v>
          </cell>
          <cell r="H206">
            <v>0.05</v>
          </cell>
          <cell r="I206">
            <v>0</v>
          </cell>
        </row>
        <row r="207">
          <cell r="A207">
            <v>8</v>
          </cell>
          <cell r="B207" t="str">
            <v>220KV CVT/PT</v>
          </cell>
          <cell r="C207">
            <v>0</v>
          </cell>
          <cell r="D207">
            <v>0</v>
          </cell>
          <cell r="E207">
            <v>0</v>
          </cell>
          <cell r="F207">
            <v>0.05</v>
          </cell>
          <cell r="G207">
            <v>0</v>
          </cell>
          <cell r="H207">
            <v>0.05</v>
          </cell>
          <cell r="I207">
            <v>0</v>
          </cell>
        </row>
        <row r="208">
          <cell r="A208">
            <v>9</v>
          </cell>
          <cell r="B208" t="str">
            <v>220KV LA</v>
          </cell>
          <cell r="C208">
            <v>0</v>
          </cell>
          <cell r="D208">
            <v>0</v>
          </cell>
          <cell r="E208">
            <v>0</v>
          </cell>
          <cell r="F208">
            <v>2.5000000000000001E-2</v>
          </cell>
          <cell r="G208">
            <v>0</v>
          </cell>
          <cell r="H208">
            <v>2.5000000000000001E-2</v>
          </cell>
          <cell r="I208">
            <v>0</v>
          </cell>
        </row>
        <row r="209">
          <cell r="A209">
            <v>10</v>
          </cell>
          <cell r="B209" t="str">
            <v>220KV Post/Solid Core Insulators</v>
          </cell>
          <cell r="C209">
            <v>0</v>
          </cell>
          <cell r="D209">
            <v>0</v>
          </cell>
          <cell r="E209">
            <v>0</v>
          </cell>
          <cell r="F209">
            <v>0.06</v>
          </cell>
          <cell r="G209">
            <v>0</v>
          </cell>
          <cell r="H209">
            <v>0.06</v>
          </cell>
          <cell r="I209">
            <v>0</v>
          </cell>
        </row>
        <row r="210">
          <cell r="A210">
            <v>11</v>
          </cell>
          <cell r="B210" t="str">
            <v>160MVA transformer</v>
          </cell>
          <cell r="C210">
            <v>0</v>
          </cell>
          <cell r="D210">
            <v>0</v>
          </cell>
          <cell r="E210">
            <v>0</v>
          </cell>
          <cell r="F210">
            <v>0.54</v>
          </cell>
          <cell r="G210">
            <v>0</v>
          </cell>
          <cell r="H210">
            <v>0.54</v>
          </cell>
          <cell r="I210">
            <v>0</v>
          </cell>
        </row>
        <row r="211">
          <cell r="A211">
            <v>12</v>
          </cell>
          <cell r="B211" t="str">
            <v>40MVA transformer</v>
          </cell>
          <cell r="C211">
            <v>1</v>
          </cell>
          <cell r="D211">
            <v>0</v>
          </cell>
          <cell r="E211">
            <v>0</v>
          </cell>
          <cell r="F211">
            <v>0.53</v>
          </cell>
          <cell r="G211">
            <v>0.53</v>
          </cell>
          <cell r="H211">
            <v>0.53</v>
          </cell>
          <cell r="I211">
            <v>0.53</v>
          </cell>
        </row>
        <row r="212">
          <cell r="A212">
            <v>13</v>
          </cell>
          <cell r="B212" t="str">
            <v>132KV Gantry</v>
          </cell>
          <cell r="C212">
            <v>4</v>
          </cell>
          <cell r="D212">
            <v>0</v>
          </cell>
          <cell r="E212">
            <v>0</v>
          </cell>
          <cell r="F212">
            <v>0.3</v>
          </cell>
          <cell r="G212">
            <v>1.2</v>
          </cell>
          <cell r="H212">
            <v>0.3</v>
          </cell>
          <cell r="I212">
            <v>1.2</v>
          </cell>
        </row>
        <row r="213">
          <cell r="A213">
            <v>14</v>
          </cell>
          <cell r="B213" t="str">
            <v xml:space="preserve">132KV main busbar foundation </v>
          </cell>
          <cell r="C213">
            <v>1</v>
          </cell>
          <cell r="D213">
            <v>0</v>
          </cell>
          <cell r="E213">
            <v>0</v>
          </cell>
          <cell r="F213">
            <v>0.16500000000000001</v>
          </cell>
          <cell r="G213">
            <v>0.16500000000000001</v>
          </cell>
          <cell r="H213">
            <v>0.16500000000000001</v>
          </cell>
          <cell r="I213">
            <v>0.16500000000000001</v>
          </cell>
        </row>
        <row r="214">
          <cell r="A214">
            <v>15</v>
          </cell>
          <cell r="B214" t="str">
            <v>132KV aux.busbar foundation</v>
          </cell>
          <cell r="C214">
            <v>0</v>
          </cell>
          <cell r="D214">
            <v>0</v>
          </cell>
          <cell r="E214">
            <v>0</v>
          </cell>
          <cell r="F214">
            <v>0.121</v>
          </cell>
          <cell r="G214">
            <v>0</v>
          </cell>
          <cell r="H214">
            <v>0.121</v>
          </cell>
          <cell r="I214">
            <v>0</v>
          </cell>
        </row>
        <row r="215">
          <cell r="A215">
            <v>16</v>
          </cell>
          <cell r="B215" t="str">
            <v>132KV Isolator</v>
          </cell>
          <cell r="C215">
            <v>3</v>
          </cell>
          <cell r="D215">
            <v>0</v>
          </cell>
          <cell r="E215">
            <v>0</v>
          </cell>
          <cell r="F215">
            <v>6.7000000000000004E-2</v>
          </cell>
          <cell r="G215">
            <v>0.20100000000000001</v>
          </cell>
          <cell r="H215">
            <v>6.7000000000000004E-2</v>
          </cell>
          <cell r="I215">
            <v>0.20100000000000001</v>
          </cell>
        </row>
        <row r="216">
          <cell r="A216">
            <v>17</v>
          </cell>
          <cell r="B216" t="str">
            <v>132kv Solid Core Insulator</v>
          </cell>
          <cell r="C216">
            <v>3</v>
          </cell>
          <cell r="D216">
            <v>0</v>
          </cell>
          <cell r="E216">
            <v>0</v>
          </cell>
          <cell r="F216">
            <v>1.0999999999999999E-2</v>
          </cell>
          <cell r="G216">
            <v>3.3000000000000002E-2</v>
          </cell>
          <cell r="H216">
            <v>1.0999999999999999E-2</v>
          </cell>
          <cell r="I216">
            <v>3.3000000000000002E-2</v>
          </cell>
        </row>
        <row r="217">
          <cell r="A217">
            <v>18</v>
          </cell>
          <cell r="B217" t="str">
            <v>132KV CB</v>
          </cell>
          <cell r="C217">
            <v>1</v>
          </cell>
          <cell r="D217">
            <v>0</v>
          </cell>
          <cell r="E217">
            <v>0</v>
          </cell>
          <cell r="F217">
            <v>0.30499999999999999</v>
          </cell>
          <cell r="G217">
            <v>0.30499999999999999</v>
          </cell>
          <cell r="H217">
            <v>0.30499999999999999</v>
          </cell>
          <cell r="I217">
            <v>0.30499999999999999</v>
          </cell>
        </row>
        <row r="218">
          <cell r="A218">
            <v>19</v>
          </cell>
          <cell r="B218" t="str">
            <v>132KV CT</v>
          </cell>
          <cell r="C218">
            <v>3</v>
          </cell>
          <cell r="D218">
            <v>0</v>
          </cell>
          <cell r="E218">
            <v>0</v>
          </cell>
          <cell r="F218">
            <v>1.0999999999999999E-2</v>
          </cell>
          <cell r="G218">
            <v>3.3000000000000002E-2</v>
          </cell>
          <cell r="H218">
            <v>1.0999999999999999E-2</v>
          </cell>
          <cell r="I218">
            <v>3.3000000000000002E-2</v>
          </cell>
        </row>
        <row r="219">
          <cell r="A219">
            <v>20</v>
          </cell>
          <cell r="B219" t="str">
            <v>132KV LA</v>
          </cell>
          <cell r="C219">
            <v>3</v>
          </cell>
          <cell r="D219">
            <v>0</v>
          </cell>
          <cell r="E219">
            <v>0</v>
          </cell>
          <cell r="F219">
            <v>2.1000000000000001E-2</v>
          </cell>
          <cell r="G219">
            <v>6.3E-2</v>
          </cell>
          <cell r="H219">
            <v>2.1000000000000001E-2</v>
          </cell>
          <cell r="I219">
            <v>6.3E-2</v>
          </cell>
        </row>
        <row r="220">
          <cell r="A220">
            <v>21</v>
          </cell>
          <cell r="B220" t="str">
            <v>132KV PT</v>
          </cell>
          <cell r="C220">
            <v>0</v>
          </cell>
          <cell r="D220">
            <v>0</v>
          </cell>
          <cell r="E220">
            <v>0</v>
          </cell>
          <cell r="F220">
            <v>0.03</v>
          </cell>
          <cell r="G220">
            <v>0</v>
          </cell>
          <cell r="H220">
            <v>0.03</v>
          </cell>
          <cell r="I220">
            <v>0</v>
          </cell>
        </row>
        <row r="221">
          <cell r="A221">
            <v>22</v>
          </cell>
          <cell r="B221" t="str">
            <v>132KV CC</v>
          </cell>
          <cell r="C221">
            <v>0</v>
          </cell>
          <cell r="D221">
            <v>0</v>
          </cell>
          <cell r="E221">
            <v>0</v>
          </cell>
          <cell r="F221">
            <v>2.1000000000000001E-2</v>
          </cell>
          <cell r="G221">
            <v>0</v>
          </cell>
          <cell r="H221">
            <v>2.1000000000000001E-2</v>
          </cell>
          <cell r="I221">
            <v>0</v>
          </cell>
        </row>
        <row r="222">
          <cell r="A222">
            <v>23</v>
          </cell>
          <cell r="B222" t="str">
            <v xml:space="preserve">33KV Gantry </v>
          </cell>
          <cell r="C222">
            <v>2</v>
          </cell>
          <cell r="D222">
            <v>0</v>
          </cell>
          <cell r="E222">
            <v>0</v>
          </cell>
          <cell r="F222">
            <v>0.12</v>
          </cell>
          <cell r="G222">
            <v>0.24</v>
          </cell>
          <cell r="H222">
            <v>0.12</v>
          </cell>
          <cell r="I222">
            <v>0.24</v>
          </cell>
        </row>
        <row r="223">
          <cell r="A223">
            <v>24</v>
          </cell>
          <cell r="B223" t="str">
            <v>33KV main/aux. Busbar</v>
          </cell>
          <cell r="C223">
            <v>1</v>
          </cell>
          <cell r="D223">
            <v>0</v>
          </cell>
          <cell r="E223">
            <v>0</v>
          </cell>
          <cell r="F223">
            <v>0.34</v>
          </cell>
          <cell r="G223">
            <v>0.34</v>
          </cell>
          <cell r="H223">
            <v>0.34</v>
          </cell>
          <cell r="I223">
            <v>0.34</v>
          </cell>
        </row>
        <row r="224">
          <cell r="A224">
            <v>25</v>
          </cell>
          <cell r="B224" t="str">
            <v>33KV CB</v>
          </cell>
          <cell r="C224">
            <v>1</v>
          </cell>
          <cell r="D224">
            <v>0</v>
          </cell>
          <cell r="E224">
            <v>0</v>
          </cell>
          <cell r="F224">
            <v>5.5E-2</v>
          </cell>
          <cell r="G224">
            <v>5.5E-2</v>
          </cell>
          <cell r="H224">
            <v>5.5E-2</v>
          </cell>
          <cell r="I224">
            <v>5.5E-2</v>
          </cell>
        </row>
        <row r="225">
          <cell r="A225">
            <v>26</v>
          </cell>
          <cell r="B225" t="str">
            <v>33KV CT/PT/LA/PI</v>
          </cell>
          <cell r="C225">
            <v>6</v>
          </cell>
          <cell r="D225">
            <v>0</v>
          </cell>
          <cell r="E225">
            <v>0</v>
          </cell>
          <cell r="F225">
            <v>1.4999999999999999E-2</v>
          </cell>
          <cell r="G225">
            <v>0.09</v>
          </cell>
          <cell r="H225">
            <v>1.4999999999999999E-2</v>
          </cell>
          <cell r="I225">
            <v>0.09</v>
          </cell>
        </row>
        <row r="226">
          <cell r="A226">
            <v>27</v>
          </cell>
          <cell r="B226" t="str">
            <v>33KV Isolator</v>
          </cell>
          <cell r="C226">
            <v>2</v>
          </cell>
          <cell r="D226">
            <v>0</v>
          </cell>
          <cell r="E226">
            <v>0</v>
          </cell>
          <cell r="F226">
            <v>5.0999999999999997E-2</v>
          </cell>
          <cell r="G226">
            <v>0.10199999999999999</v>
          </cell>
          <cell r="H226">
            <v>5.0999999999999997E-2</v>
          </cell>
          <cell r="I226">
            <v>0.10199999999999999</v>
          </cell>
        </row>
        <row r="227">
          <cell r="A227">
            <v>28</v>
          </cell>
          <cell r="B227" t="str">
            <v>Control room type-V</v>
          </cell>
          <cell r="C227">
            <v>0</v>
          </cell>
          <cell r="D227">
            <v>0</v>
          </cell>
          <cell r="E227">
            <v>0</v>
          </cell>
          <cell r="F227">
            <v>15</v>
          </cell>
          <cell r="G227">
            <v>0</v>
          </cell>
          <cell r="H227">
            <v>15</v>
          </cell>
          <cell r="I227">
            <v>0</v>
          </cell>
        </row>
        <row r="228">
          <cell r="A228">
            <v>29</v>
          </cell>
          <cell r="B228" t="str">
            <v>Yard levelling,metalling &amp; misc. civil work</v>
          </cell>
          <cell r="C228" t="str">
            <v>LS</v>
          </cell>
          <cell r="D228">
            <v>0</v>
          </cell>
          <cell r="E228">
            <v>0</v>
          </cell>
          <cell r="F228">
            <v>0.5</v>
          </cell>
          <cell r="G228">
            <v>0.5</v>
          </cell>
          <cell r="H228" t="str">
            <v>LS</v>
          </cell>
          <cell r="I228">
            <v>0.5</v>
          </cell>
        </row>
        <row r="229">
          <cell r="A229">
            <v>30</v>
          </cell>
          <cell r="B229" t="str">
            <v>Water supply arrangement including overhead tank etc.</v>
          </cell>
          <cell r="C229" t="str">
            <v>LS</v>
          </cell>
          <cell r="D229">
            <v>0</v>
          </cell>
          <cell r="E229">
            <v>0</v>
          </cell>
          <cell r="F229">
            <v>0</v>
          </cell>
          <cell r="G229">
            <v>0</v>
          </cell>
          <cell r="H229" t="str">
            <v>LS</v>
          </cell>
          <cell r="I229">
            <v>0</v>
          </cell>
        </row>
        <row r="230">
          <cell r="A230">
            <v>31</v>
          </cell>
          <cell r="B230" t="str">
            <v>Earth pits</v>
          </cell>
          <cell r="C230" t="str">
            <v>LS</v>
          </cell>
          <cell r="D230">
            <v>0</v>
          </cell>
          <cell r="E230">
            <v>0</v>
          </cell>
          <cell r="F230">
            <v>0.2</v>
          </cell>
          <cell r="G230">
            <v>0.2</v>
          </cell>
          <cell r="H230" t="str">
            <v>LS</v>
          </cell>
          <cell r="I230">
            <v>0.2</v>
          </cell>
        </row>
        <row r="231">
          <cell r="A231">
            <v>32</v>
          </cell>
          <cell r="B231" t="str">
            <v>Four bay constn.shed</v>
          </cell>
          <cell r="C231">
            <v>0</v>
          </cell>
          <cell r="D231">
            <v>0</v>
          </cell>
          <cell r="E231">
            <v>0</v>
          </cell>
          <cell r="F231">
            <v>4.37</v>
          </cell>
          <cell r="G231">
            <v>0</v>
          </cell>
          <cell r="H231">
            <v>4.37</v>
          </cell>
          <cell r="I231">
            <v>0</v>
          </cell>
        </row>
        <row r="232">
          <cell r="A232">
            <v>33</v>
          </cell>
          <cell r="B232" t="str">
            <v>Cable Trenches</v>
          </cell>
          <cell r="C232" t="str">
            <v>LS</v>
          </cell>
          <cell r="D232">
            <v>0</v>
          </cell>
          <cell r="E232">
            <v>0</v>
          </cell>
          <cell r="F232">
            <v>1.5</v>
          </cell>
          <cell r="G232">
            <v>1.5</v>
          </cell>
          <cell r="H232" t="str">
            <v>LS</v>
          </cell>
          <cell r="I232">
            <v>1.5</v>
          </cell>
        </row>
        <row r="233">
          <cell r="A233">
            <v>34</v>
          </cell>
          <cell r="B233" t="str">
            <v>Internal Colony Road</v>
          </cell>
          <cell r="C233" t="str">
            <v>LS</v>
          </cell>
          <cell r="D233">
            <v>0</v>
          </cell>
          <cell r="E233">
            <v>0</v>
          </cell>
          <cell r="F233">
            <v>0</v>
          </cell>
          <cell r="G233">
            <v>0</v>
          </cell>
          <cell r="H233" t="str">
            <v>LS</v>
          </cell>
          <cell r="I233">
            <v>0</v>
          </cell>
        </row>
        <row r="234">
          <cell r="A234">
            <v>35</v>
          </cell>
          <cell r="B234" t="str">
            <v>Yard &amp; area fencing</v>
          </cell>
          <cell r="C234" t="str">
            <v>LS</v>
          </cell>
          <cell r="D234">
            <v>0</v>
          </cell>
          <cell r="E234">
            <v>0</v>
          </cell>
          <cell r="F234">
            <v>0</v>
          </cell>
          <cell r="G234">
            <v>0</v>
          </cell>
          <cell r="H234" t="str">
            <v>LS</v>
          </cell>
          <cell r="I234">
            <v>0</v>
          </cell>
        </row>
        <row r="235">
          <cell r="A235">
            <v>36</v>
          </cell>
          <cell r="B235" t="str">
            <v>Staff quarter</v>
          </cell>
          <cell r="C235" t="str">
            <v>LS</v>
          </cell>
          <cell r="D235">
            <v>0</v>
          </cell>
          <cell r="E235">
            <v>0</v>
          </cell>
          <cell r="F235">
            <v>0</v>
          </cell>
          <cell r="G235">
            <v>0</v>
          </cell>
          <cell r="H235" t="str">
            <v>LS</v>
          </cell>
          <cell r="I235">
            <v>0</v>
          </cell>
        </row>
        <row r="236">
          <cell r="A236">
            <v>37</v>
          </cell>
          <cell r="B236" t="str">
            <v>Rail Track</v>
          </cell>
          <cell r="C236" t="str">
            <v>LS</v>
          </cell>
          <cell r="D236">
            <v>0</v>
          </cell>
          <cell r="E236">
            <v>0</v>
          </cell>
          <cell r="F236">
            <v>1</v>
          </cell>
          <cell r="G236">
            <v>1</v>
          </cell>
          <cell r="H236" t="str">
            <v>LS</v>
          </cell>
          <cell r="I236">
            <v>1</v>
          </cell>
        </row>
        <row r="237">
          <cell r="A237">
            <v>38</v>
          </cell>
          <cell r="B237" t="str">
            <v>Station transformer foundation</v>
          </cell>
          <cell r="C237">
            <v>0</v>
          </cell>
          <cell r="D237">
            <v>0</v>
          </cell>
          <cell r="E237">
            <v>0</v>
          </cell>
          <cell r="F237">
            <v>0.30099999999999999</v>
          </cell>
          <cell r="G237">
            <v>0</v>
          </cell>
          <cell r="H237">
            <v>0.30099999999999999</v>
          </cell>
          <cell r="I237">
            <v>0</v>
          </cell>
        </row>
        <row r="238">
          <cell r="A238">
            <v>39</v>
          </cell>
          <cell r="B238" t="str">
            <v>Flag stone flooring &amp; Misc. civil works</v>
          </cell>
          <cell r="C238" t="str">
            <v>LS</v>
          </cell>
          <cell r="D238">
            <v>0</v>
          </cell>
          <cell r="E238">
            <v>0</v>
          </cell>
          <cell r="F238">
            <v>0.5</v>
          </cell>
          <cell r="G238">
            <v>0.5</v>
          </cell>
          <cell r="H238" t="str">
            <v>LS</v>
          </cell>
          <cell r="I238">
            <v>0.5</v>
          </cell>
        </row>
        <row r="239">
          <cell r="E239">
            <v>0</v>
          </cell>
          <cell r="F239">
            <v>0.5</v>
          </cell>
          <cell r="G239">
            <v>0.5</v>
          </cell>
          <cell r="H239" t="str">
            <v>LS</v>
          </cell>
          <cell r="I239">
            <v>0.5</v>
          </cell>
        </row>
        <row r="240">
          <cell r="A240" t="str">
            <v xml:space="preserve"> </v>
          </cell>
          <cell r="B240" t="str">
            <v>SUB TOTAL (I)</v>
          </cell>
          <cell r="C240">
            <v>0</v>
          </cell>
          <cell r="D240">
            <v>0</v>
          </cell>
          <cell r="E240">
            <v>0</v>
          </cell>
          <cell r="F240">
            <v>0</v>
          </cell>
          <cell r="G240">
            <v>7.0570000000000004</v>
          </cell>
          <cell r="H240">
            <v>0</v>
          </cell>
          <cell r="I240">
            <v>7.0570000000000004</v>
          </cell>
        </row>
        <row r="241">
          <cell r="I241">
            <v>7.0570000000000004</v>
          </cell>
        </row>
        <row r="242">
          <cell r="A242" t="str">
            <v>J</v>
          </cell>
          <cell r="B242" t="str">
            <v>ERECTION,TESTING &amp; COMMISSIONING ETC.</v>
          </cell>
        </row>
        <row r="243">
          <cell r="A243" t="str">
            <v>J</v>
          </cell>
          <cell r="B243" t="str">
            <v>ERECTION,TESTING &amp; COMMISSIONING ETC.</v>
          </cell>
        </row>
        <row r="244">
          <cell r="A244">
            <v>1</v>
          </cell>
          <cell r="B244" t="str">
            <v>160MVA Transformer</v>
          </cell>
          <cell r="C244">
            <v>0</v>
          </cell>
          <cell r="D244">
            <v>0</v>
          </cell>
          <cell r="E244">
            <v>0</v>
          </cell>
          <cell r="F244">
            <v>1.24</v>
          </cell>
          <cell r="G244">
            <v>0</v>
          </cell>
          <cell r="H244">
            <v>1.24</v>
          </cell>
          <cell r="I244">
            <v>0</v>
          </cell>
        </row>
        <row r="245">
          <cell r="A245">
            <v>2</v>
          </cell>
          <cell r="B245" t="str">
            <v>40MVA transformer</v>
          </cell>
          <cell r="C245">
            <v>1</v>
          </cell>
          <cell r="D245">
            <v>0</v>
          </cell>
          <cell r="E245">
            <v>0</v>
          </cell>
          <cell r="F245">
            <v>0.97</v>
          </cell>
          <cell r="G245">
            <v>0.97</v>
          </cell>
          <cell r="H245">
            <v>0.97</v>
          </cell>
          <cell r="I245">
            <v>0.97</v>
          </cell>
        </row>
        <row r="246">
          <cell r="A246">
            <v>3</v>
          </cell>
          <cell r="B246" t="str">
            <v>220KV CB</v>
          </cell>
          <cell r="C246">
            <v>0</v>
          </cell>
          <cell r="D246">
            <v>0</v>
          </cell>
          <cell r="E246">
            <v>0</v>
          </cell>
          <cell r="F246">
            <v>0.2</v>
          </cell>
          <cell r="G246">
            <v>0</v>
          </cell>
          <cell r="H246">
            <v>0.2</v>
          </cell>
          <cell r="I246">
            <v>0</v>
          </cell>
        </row>
        <row r="247">
          <cell r="A247">
            <v>4</v>
          </cell>
          <cell r="B247" t="str">
            <v>220KV CT</v>
          </cell>
          <cell r="C247">
            <v>0</v>
          </cell>
          <cell r="D247">
            <v>0</v>
          </cell>
          <cell r="E247">
            <v>0</v>
          </cell>
          <cell r="F247">
            <v>4.1000000000000002E-2</v>
          </cell>
          <cell r="G247">
            <v>0</v>
          </cell>
          <cell r="H247">
            <v>4.1000000000000002E-2</v>
          </cell>
          <cell r="I247">
            <v>0</v>
          </cell>
        </row>
        <row r="248">
          <cell r="A248">
            <v>5</v>
          </cell>
          <cell r="B248" t="str">
            <v>220KV Isolator</v>
          </cell>
          <cell r="C248">
            <v>0</v>
          </cell>
          <cell r="D248">
            <v>0</v>
          </cell>
          <cell r="E248">
            <v>0</v>
          </cell>
          <cell r="F248">
            <v>0.09</v>
          </cell>
          <cell r="G248">
            <v>0</v>
          </cell>
          <cell r="H248">
            <v>0.09</v>
          </cell>
          <cell r="I248">
            <v>0</v>
          </cell>
        </row>
        <row r="249">
          <cell r="A249">
            <v>6</v>
          </cell>
          <cell r="B249" t="str">
            <v>220KV LA</v>
          </cell>
          <cell r="C249">
            <v>0</v>
          </cell>
          <cell r="D249">
            <v>0</v>
          </cell>
          <cell r="E249">
            <v>0</v>
          </cell>
          <cell r="F249">
            <v>2.5000000000000001E-2</v>
          </cell>
          <cell r="G249">
            <v>0</v>
          </cell>
          <cell r="H249">
            <v>2.5000000000000001E-2</v>
          </cell>
          <cell r="I249">
            <v>0</v>
          </cell>
        </row>
        <row r="250">
          <cell r="A250">
            <v>7</v>
          </cell>
          <cell r="B250" t="str">
            <v>220KV PT/CVT</v>
          </cell>
          <cell r="C250">
            <v>0</v>
          </cell>
          <cell r="D250">
            <v>0</v>
          </cell>
          <cell r="E250">
            <v>0</v>
          </cell>
          <cell r="F250">
            <v>0.04</v>
          </cell>
          <cell r="G250">
            <v>0</v>
          </cell>
          <cell r="H250">
            <v>0.04</v>
          </cell>
          <cell r="I250">
            <v>0</v>
          </cell>
        </row>
        <row r="251">
          <cell r="A251">
            <v>8</v>
          </cell>
          <cell r="B251" t="str">
            <v>220KV C&amp;R Panel</v>
          </cell>
          <cell r="C251">
            <v>0</v>
          </cell>
          <cell r="D251">
            <v>0</v>
          </cell>
          <cell r="E251">
            <v>0</v>
          </cell>
          <cell r="F251">
            <v>0.18</v>
          </cell>
          <cell r="G251">
            <v>0</v>
          </cell>
          <cell r="H251">
            <v>0.18</v>
          </cell>
          <cell r="I251">
            <v>0</v>
          </cell>
        </row>
        <row r="252">
          <cell r="A252">
            <v>9</v>
          </cell>
          <cell r="B252" t="str">
            <v>220/132/33KV Gantries,Busbar equip.structure erection(in MT)</v>
          </cell>
          <cell r="C252">
            <v>22.567999999999998</v>
          </cell>
          <cell r="D252">
            <v>0</v>
          </cell>
          <cell r="E252">
            <v>0</v>
          </cell>
          <cell r="F252">
            <v>2.5000000000000001E-2</v>
          </cell>
          <cell r="G252">
            <v>0.56419999999999992</v>
          </cell>
          <cell r="H252">
            <v>2.5000000000000001E-2</v>
          </cell>
          <cell r="I252">
            <v>0.56419999999999992</v>
          </cell>
        </row>
        <row r="253">
          <cell r="A253">
            <v>10</v>
          </cell>
          <cell r="B253" t="str">
            <v>PLCC equipments</v>
          </cell>
          <cell r="C253" t="str">
            <v>LS</v>
          </cell>
          <cell r="D253">
            <v>0</v>
          </cell>
          <cell r="E253">
            <v>0</v>
          </cell>
          <cell r="F253">
            <v>0</v>
          </cell>
          <cell r="G253">
            <v>0</v>
          </cell>
          <cell r="H253" t="str">
            <v>LS</v>
          </cell>
          <cell r="I253">
            <v>0</v>
          </cell>
        </row>
        <row r="254">
          <cell r="A254">
            <v>11</v>
          </cell>
          <cell r="B254" t="str">
            <v>220KV PI/Solid Core Insulators</v>
          </cell>
          <cell r="C254">
            <v>0</v>
          </cell>
          <cell r="D254">
            <v>0</v>
          </cell>
          <cell r="E254">
            <v>0</v>
          </cell>
          <cell r="F254">
            <v>7.0000000000000001E-3</v>
          </cell>
          <cell r="G254">
            <v>0</v>
          </cell>
          <cell r="H254">
            <v>7.0000000000000001E-3</v>
          </cell>
          <cell r="I254">
            <v>0</v>
          </cell>
        </row>
        <row r="255">
          <cell r="A255">
            <v>12</v>
          </cell>
          <cell r="B255" t="str">
            <v>220KV wave trap</v>
          </cell>
          <cell r="C255">
            <v>0</v>
          </cell>
          <cell r="D255">
            <v>0</v>
          </cell>
          <cell r="E255">
            <v>0</v>
          </cell>
          <cell r="F255">
            <v>0.04</v>
          </cell>
          <cell r="G255">
            <v>0</v>
          </cell>
          <cell r="H255">
            <v>0.04</v>
          </cell>
          <cell r="I255">
            <v>0</v>
          </cell>
        </row>
        <row r="256">
          <cell r="A256">
            <v>13</v>
          </cell>
          <cell r="B256" t="str">
            <v>132KV CC</v>
          </cell>
          <cell r="C256">
            <v>0</v>
          </cell>
          <cell r="D256">
            <v>0</v>
          </cell>
          <cell r="E256">
            <v>0</v>
          </cell>
          <cell r="F256">
            <v>3.4000000000000002E-2</v>
          </cell>
          <cell r="G256">
            <v>0</v>
          </cell>
          <cell r="H256">
            <v>3.4000000000000002E-2</v>
          </cell>
          <cell r="I256">
            <v>0</v>
          </cell>
        </row>
        <row r="257">
          <cell r="A257">
            <v>14</v>
          </cell>
          <cell r="B257" t="str">
            <v>132KV CB</v>
          </cell>
          <cell r="C257">
            <v>1</v>
          </cell>
          <cell r="D257">
            <v>0</v>
          </cell>
          <cell r="E257">
            <v>0</v>
          </cell>
          <cell r="F257">
            <v>0.16</v>
          </cell>
          <cell r="G257">
            <v>0.16</v>
          </cell>
          <cell r="H257">
            <v>0.16</v>
          </cell>
          <cell r="I257">
            <v>0.16</v>
          </cell>
        </row>
        <row r="258">
          <cell r="A258">
            <v>15</v>
          </cell>
          <cell r="B258" t="str">
            <v>132KV CT</v>
          </cell>
          <cell r="C258">
            <v>3</v>
          </cell>
          <cell r="D258">
            <v>0</v>
          </cell>
          <cell r="E258">
            <v>0</v>
          </cell>
          <cell r="F258">
            <v>3.9E-2</v>
          </cell>
          <cell r="G258">
            <v>0.11699999999999999</v>
          </cell>
          <cell r="H258">
            <v>3.9E-2</v>
          </cell>
          <cell r="I258">
            <v>0.11699999999999999</v>
          </cell>
        </row>
        <row r="259">
          <cell r="A259">
            <v>16</v>
          </cell>
          <cell r="B259" t="str">
            <v>132KV Isolators</v>
          </cell>
          <cell r="C259">
            <v>3</v>
          </cell>
          <cell r="D259">
            <v>0</v>
          </cell>
          <cell r="E259">
            <v>0</v>
          </cell>
          <cell r="F259">
            <v>7.0000000000000007E-2</v>
          </cell>
          <cell r="G259">
            <v>0.21000000000000002</v>
          </cell>
          <cell r="H259">
            <v>7.0000000000000007E-2</v>
          </cell>
          <cell r="I259">
            <v>0.21000000000000002</v>
          </cell>
        </row>
        <row r="260">
          <cell r="A260">
            <v>17</v>
          </cell>
          <cell r="B260" t="str">
            <v>132KV LA</v>
          </cell>
          <cell r="C260">
            <v>3</v>
          </cell>
          <cell r="D260">
            <v>0</v>
          </cell>
          <cell r="E260">
            <v>0</v>
          </cell>
          <cell r="F260">
            <v>1.7000000000000001E-2</v>
          </cell>
          <cell r="G260">
            <v>5.1000000000000004E-2</v>
          </cell>
          <cell r="H260">
            <v>1.7000000000000001E-2</v>
          </cell>
          <cell r="I260">
            <v>5.1000000000000004E-2</v>
          </cell>
        </row>
        <row r="261">
          <cell r="A261">
            <v>18</v>
          </cell>
          <cell r="B261" t="str">
            <v>132KV C&amp;R Panel</v>
          </cell>
          <cell r="C261">
            <v>1</v>
          </cell>
          <cell r="D261">
            <v>0</v>
          </cell>
          <cell r="E261">
            <v>0</v>
          </cell>
          <cell r="F261">
            <v>0.14000000000000001</v>
          </cell>
          <cell r="G261">
            <v>0.14000000000000001</v>
          </cell>
          <cell r="H261">
            <v>0.14000000000000001</v>
          </cell>
          <cell r="I261">
            <v>0.14000000000000001</v>
          </cell>
        </row>
        <row r="262">
          <cell r="A262">
            <v>19</v>
          </cell>
          <cell r="B262" t="str">
            <v>132KV PI/Solid Core Insulator</v>
          </cell>
          <cell r="C262">
            <v>6</v>
          </cell>
          <cell r="D262">
            <v>0</v>
          </cell>
          <cell r="E262">
            <v>0</v>
          </cell>
          <cell r="F262">
            <v>5.0000000000000001E-3</v>
          </cell>
          <cell r="G262">
            <v>0.03</v>
          </cell>
          <cell r="H262">
            <v>5.0000000000000001E-3</v>
          </cell>
          <cell r="I262">
            <v>0.03</v>
          </cell>
        </row>
        <row r="263">
          <cell r="A263">
            <v>20</v>
          </cell>
          <cell r="B263" t="str">
            <v>132KV PT</v>
          </cell>
          <cell r="C263">
            <v>0</v>
          </cell>
          <cell r="D263">
            <v>0</v>
          </cell>
          <cell r="E263">
            <v>0</v>
          </cell>
          <cell r="F263">
            <v>3.4000000000000002E-2</v>
          </cell>
          <cell r="G263">
            <v>0</v>
          </cell>
          <cell r="H263">
            <v>3.4000000000000002E-2</v>
          </cell>
          <cell r="I263">
            <v>0</v>
          </cell>
        </row>
        <row r="264">
          <cell r="A264">
            <v>21</v>
          </cell>
          <cell r="B264" t="str">
            <v>33KV CB</v>
          </cell>
          <cell r="C264">
            <v>1</v>
          </cell>
          <cell r="D264">
            <v>0</v>
          </cell>
          <cell r="E264">
            <v>0</v>
          </cell>
          <cell r="F264">
            <v>8.2000000000000003E-2</v>
          </cell>
          <cell r="G264">
            <v>8.2000000000000003E-2</v>
          </cell>
          <cell r="H264">
            <v>8.2000000000000003E-2</v>
          </cell>
          <cell r="I264">
            <v>8.2000000000000003E-2</v>
          </cell>
        </row>
        <row r="265">
          <cell r="A265">
            <v>22</v>
          </cell>
          <cell r="B265" t="str">
            <v>33KV CT</v>
          </cell>
          <cell r="C265">
            <v>3</v>
          </cell>
          <cell r="D265">
            <v>0</v>
          </cell>
          <cell r="E265">
            <v>0</v>
          </cell>
          <cell r="F265">
            <v>0.03</v>
          </cell>
          <cell r="G265">
            <v>0.09</v>
          </cell>
          <cell r="H265">
            <v>0.03</v>
          </cell>
          <cell r="I265">
            <v>0.09</v>
          </cell>
        </row>
        <row r="266">
          <cell r="A266">
            <v>23</v>
          </cell>
          <cell r="B266" t="str">
            <v>33KV PT</v>
          </cell>
          <cell r="C266">
            <v>0</v>
          </cell>
          <cell r="D266">
            <v>0</v>
          </cell>
          <cell r="E266">
            <v>0</v>
          </cell>
          <cell r="F266">
            <v>0.03</v>
          </cell>
          <cell r="G266">
            <v>0</v>
          </cell>
          <cell r="H266">
            <v>0.03</v>
          </cell>
          <cell r="I266">
            <v>0</v>
          </cell>
        </row>
        <row r="267">
          <cell r="A267">
            <v>24</v>
          </cell>
          <cell r="B267" t="str">
            <v>33KV Isolator</v>
          </cell>
          <cell r="C267">
            <v>2</v>
          </cell>
          <cell r="D267">
            <v>0</v>
          </cell>
          <cell r="E267">
            <v>0</v>
          </cell>
          <cell r="F267">
            <v>4.7E-2</v>
          </cell>
          <cell r="G267">
            <v>9.4E-2</v>
          </cell>
          <cell r="H267">
            <v>4.7E-2</v>
          </cell>
          <cell r="I267">
            <v>9.4E-2</v>
          </cell>
        </row>
        <row r="268">
          <cell r="A268">
            <v>25</v>
          </cell>
          <cell r="B268" t="str">
            <v>33KV LA</v>
          </cell>
          <cell r="C268">
            <v>3</v>
          </cell>
          <cell r="D268">
            <v>0</v>
          </cell>
          <cell r="E268">
            <v>0</v>
          </cell>
          <cell r="F268">
            <v>1.0999999999999999E-2</v>
          </cell>
          <cell r="G268">
            <v>3.3000000000000002E-2</v>
          </cell>
          <cell r="H268">
            <v>1.0999999999999999E-2</v>
          </cell>
          <cell r="I268">
            <v>3.3000000000000002E-2</v>
          </cell>
        </row>
        <row r="269">
          <cell r="A269">
            <v>26</v>
          </cell>
          <cell r="B269" t="str">
            <v>33KV C&amp;R Panel</v>
          </cell>
          <cell r="C269">
            <v>1</v>
          </cell>
          <cell r="D269">
            <v>0</v>
          </cell>
          <cell r="E269">
            <v>0</v>
          </cell>
          <cell r="F269">
            <v>0.13</v>
          </cell>
          <cell r="G269">
            <v>0.13</v>
          </cell>
          <cell r="H269">
            <v>0.13</v>
          </cell>
          <cell r="I269">
            <v>0.13</v>
          </cell>
        </row>
        <row r="270">
          <cell r="A270">
            <v>27</v>
          </cell>
          <cell r="B270" t="str">
            <v>33KV PI/Solid Core Insulators</v>
          </cell>
          <cell r="C270">
            <v>0</v>
          </cell>
          <cell r="D270">
            <v>0</v>
          </cell>
          <cell r="E270">
            <v>0</v>
          </cell>
          <cell r="F270">
            <v>3.0000000000000001E-3</v>
          </cell>
          <cell r="G270">
            <v>0</v>
          </cell>
          <cell r="H270">
            <v>3.0000000000000001E-3</v>
          </cell>
          <cell r="I270">
            <v>0</v>
          </cell>
        </row>
        <row r="271">
          <cell r="A271">
            <v>28</v>
          </cell>
          <cell r="B271" t="str">
            <v>Station Transformer,</v>
          </cell>
          <cell r="C271">
            <v>0</v>
          </cell>
          <cell r="D271">
            <v>0</v>
          </cell>
          <cell r="E271">
            <v>0</v>
          </cell>
          <cell r="F271">
            <v>7.0000000000000007E-2</v>
          </cell>
          <cell r="G271">
            <v>0</v>
          </cell>
          <cell r="H271">
            <v>7.0000000000000007E-2</v>
          </cell>
          <cell r="I271">
            <v>0</v>
          </cell>
        </row>
        <row r="272">
          <cell r="A272">
            <v>29</v>
          </cell>
          <cell r="B272" t="str">
            <v>Cable laying &amp; associated works</v>
          </cell>
          <cell r="C272" t="str">
            <v>LS</v>
          </cell>
          <cell r="D272">
            <v>0</v>
          </cell>
          <cell r="E272">
            <v>0</v>
          </cell>
          <cell r="F272">
            <v>0.2</v>
          </cell>
          <cell r="G272">
            <v>0.2</v>
          </cell>
          <cell r="H272" t="str">
            <v>LS</v>
          </cell>
          <cell r="I272">
            <v>0.2</v>
          </cell>
        </row>
        <row r="273">
          <cell r="A273">
            <v>30</v>
          </cell>
          <cell r="B273" t="str">
            <v>Earthing works</v>
          </cell>
          <cell r="C273" t="str">
            <v>LS</v>
          </cell>
          <cell r="D273">
            <v>0</v>
          </cell>
          <cell r="E273">
            <v>0</v>
          </cell>
          <cell r="F273">
            <v>0.2</v>
          </cell>
          <cell r="G273">
            <v>0.2</v>
          </cell>
          <cell r="H273" t="str">
            <v>LS</v>
          </cell>
          <cell r="I273">
            <v>0.2</v>
          </cell>
        </row>
        <row r="274">
          <cell r="A274">
            <v>31</v>
          </cell>
          <cell r="B274" t="str">
            <v>AC/DC Board</v>
          </cell>
          <cell r="C274">
            <v>0</v>
          </cell>
          <cell r="D274">
            <v>0</v>
          </cell>
          <cell r="E274">
            <v>0</v>
          </cell>
          <cell r="F274">
            <v>0.13100000000000001</v>
          </cell>
          <cell r="G274">
            <v>0</v>
          </cell>
          <cell r="H274">
            <v>0.13100000000000001</v>
          </cell>
          <cell r="I274">
            <v>0</v>
          </cell>
        </row>
        <row r="275">
          <cell r="A275">
            <v>32</v>
          </cell>
          <cell r="B275" t="str">
            <v>Fitting of lighting fixtures</v>
          </cell>
          <cell r="C275" t="str">
            <v>LS</v>
          </cell>
          <cell r="D275">
            <v>0</v>
          </cell>
          <cell r="E275">
            <v>0</v>
          </cell>
          <cell r="F275">
            <v>0.1</v>
          </cell>
          <cell r="G275">
            <v>0.1</v>
          </cell>
          <cell r="H275" t="str">
            <v>LS</v>
          </cell>
          <cell r="I275">
            <v>0.1</v>
          </cell>
        </row>
        <row r="276">
          <cell r="A276">
            <v>33</v>
          </cell>
          <cell r="B276" t="str">
            <v>110V 300Ah battery</v>
          </cell>
          <cell r="C276">
            <v>0</v>
          </cell>
          <cell r="D276">
            <v>0</v>
          </cell>
          <cell r="E276">
            <v>0</v>
          </cell>
          <cell r="F276">
            <v>0.14000000000000001</v>
          </cell>
          <cell r="G276">
            <v>0</v>
          </cell>
          <cell r="H276">
            <v>0.14000000000000001</v>
          </cell>
          <cell r="I276">
            <v>0</v>
          </cell>
        </row>
        <row r="277">
          <cell r="A277">
            <v>34</v>
          </cell>
          <cell r="B277" t="str">
            <v>110V 300Ah battery charger</v>
          </cell>
          <cell r="C277">
            <v>0</v>
          </cell>
          <cell r="D277">
            <v>0</v>
          </cell>
          <cell r="E277">
            <v>0</v>
          </cell>
          <cell r="F277">
            <v>9.5000000000000001E-2</v>
          </cell>
          <cell r="G277">
            <v>0</v>
          </cell>
          <cell r="H277">
            <v>9.5000000000000001E-2</v>
          </cell>
          <cell r="I277">
            <v>0</v>
          </cell>
        </row>
        <row r="278">
          <cell r="A278">
            <v>35</v>
          </cell>
          <cell r="B278" t="str">
            <v>48V 200Ah battery</v>
          </cell>
          <cell r="C278">
            <v>0</v>
          </cell>
          <cell r="D278">
            <v>0</v>
          </cell>
          <cell r="E278">
            <v>0</v>
          </cell>
          <cell r="F278">
            <v>0.1</v>
          </cell>
          <cell r="G278">
            <v>0</v>
          </cell>
          <cell r="H278">
            <v>0.1</v>
          </cell>
          <cell r="I278">
            <v>0</v>
          </cell>
        </row>
        <row r="279">
          <cell r="A279">
            <v>36</v>
          </cell>
          <cell r="B279" t="str">
            <v>48V 200Ah battery charger</v>
          </cell>
          <cell r="C279">
            <v>0</v>
          </cell>
          <cell r="D279">
            <v>0</v>
          </cell>
          <cell r="E279">
            <v>0</v>
          </cell>
          <cell r="F279">
            <v>8.5000000000000006E-2</v>
          </cell>
          <cell r="G279">
            <v>0</v>
          </cell>
          <cell r="H279">
            <v>8.5000000000000006E-2</v>
          </cell>
          <cell r="I279">
            <v>0</v>
          </cell>
        </row>
        <row r="280">
          <cell r="A280">
            <v>37</v>
          </cell>
          <cell r="B280" t="str">
            <v xml:space="preserve">Stringing &amp; Jumpering </v>
          </cell>
          <cell r="C280" t="str">
            <v>LS</v>
          </cell>
          <cell r="D280">
            <v>0</v>
          </cell>
          <cell r="E280">
            <v>0</v>
          </cell>
          <cell r="F280">
            <v>0.5</v>
          </cell>
          <cell r="G280">
            <v>0.5</v>
          </cell>
          <cell r="H280" t="str">
            <v>LS</v>
          </cell>
          <cell r="I280">
            <v>0.5</v>
          </cell>
        </row>
        <row r="281">
          <cell r="A281">
            <v>38</v>
          </cell>
          <cell r="B281" t="str">
            <v>Testing &amp; Commissioning &amp; misc.expenditure</v>
          </cell>
          <cell r="C281" t="str">
            <v>LS</v>
          </cell>
          <cell r="D281">
            <v>0</v>
          </cell>
          <cell r="E281">
            <v>0</v>
          </cell>
          <cell r="F281">
            <v>0.1</v>
          </cell>
          <cell r="G281">
            <v>0.1</v>
          </cell>
          <cell r="H281" t="str">
            <v>LS</v>
          </cell>
          <cell r="I281">
            <v>0.1</v>
          </cell>
        </row>
        <row r="283">
          <cell r="E283">
            <v>0</v>
          </cell>
          <cell r="F283">
            <v>0.1</v>
          </cell>
          <cell r="G283">
            <v>0.1</v>
          </cell>
          <cell r="H283" t="str">
            <v>LS</v>
          </cell>
          <cell r="I283">
            <v>0.1</v>
          </cell>
        </row>
        <row r="284">
          <cell r="B284" t="str">
            <v>SUB TOTAL (J)</v>
          </cell>
          <cell r="C284">
            <v>0</v>
          </cell>
          <cell r="D284">
            <v>0</v>
          </cell>
          <cell r="E284">
            <v>0</v>
          </cell>
          <cell r="F284">
            <v>0</v>
          </cell>
          <cell r="G284">
            <v>3.7711999999999999</v>
          </cell>
          <cell r="H284">
            <v>0</v>
          </cell>
          <cell r="I284">
            <v>3.7711999999999999</v>
          </cell>
        </row>
      </sheetData>
      <sheetData sheetId="13">
        <row r="38">
          <cell r="A38" t="str">
            <v xml:space="preserve">ESTIMATE FOR INSTALLATION OF ADDITIONAL 1X40MVA 132/33KV TRANSFORMER AT EXISTING EHV SUBSTATION </v>
          </cell>
        </row>
      </sheetData>
      <sheetData sheetId="14">
        <row r="38">
          <cell r="A38" t="str">
            <v xml:space="preserve">ESTIMATE FOR INSTALLATION OF ADDITIONAL 1X40MVA 132/33KV TRANSFORMER AT EXISTING EHV SUBSTATION </v>
          </cell>
        </row>
      </sheetData>
      <sheetData sheetId="15">
        <row r="38">
          <cell r="A38" t="str">
            <v xml:space="preserve">ESTIMATE FOR INSTALLATION OF ADDITIONAL 1X40MVA 132/33KV TRANSFORMER AT EXISTING EHV SUBSTATION </v>
          </cell>
        </row>
      </sheetData>
      <sheetData sheetId="16">
        <row r="38">
          <cell r="A38" t="str">
            <v xml:space="preserve">ESTIMATE FOR INSTALLATION OF ADDITIONAL 1X40MVA 132/33KV TRANSFORMER AT EXISTING EHV SUBSTATION </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38">
          <cell r="A38" t="str">
            <v xml:space="preserve">ESTIMATE FOR INSTALLATION OF ADDITIONAL 1X40MVA 132/33KV TRANSFORMER AT EXISTING EHV SUBSTATION </v>
          </cell>
        </row>
      </sheetData>
      <sheetData sheetId="39">
        <row r="38">
          <cell r="A38" t="str">
            <v xml:space="preserve">ESTIMATE FOR INSTALLATION OF ADDITIONAL 1X40MVA 132/33KV TRANSFORMER AT EXISTING EHV SUBSTATION </v>
          </cell>
        </row>
      </sheetData>
      <sheetData sheetId="40">
        <row r="38">
          <cell r="A38" t="str">
            <v xml:space="preserve">ESTIMATE FOR INSTALLATION OF ADDITIONAL 1X40MVA 132/33KV TRANSFORMER AT EXISTING EHV SUBSTATION </v>
          </cell>
        </row>
      </sheetData>
      <sheetData sheetId="41">
        <row r="38">
          <cell r="A38" t="str">
            <v xml:space="preserve">ESTIMATE FOR INSTALLATION OF ADDITIONAL 1X40MVA 132/33KV TRANSFORMER AT EXISTING EHV SUBSTATION </v>
          </cell>
        </row>
      </sheetData>
      <sheetData sheetId="42"/>
      <sheetData sheetId="43"/>
      <sheetData sheetId="44"/>
      <sheetData sheetId="45"/>
      <sheetData sheetId="46" refreshError="1"/>
      <sheetData sheetId="47" refreshError="1"/>
      <sheetData sheetId="48"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WiseData"/>
      <sheetName val="Weather"/>
      <sheetName val="DEMAND"/>
      <sheetName val="SourceWise"/>
      <sheetName val="DIRECTOR'S"/>
      <sheetName val="DIRECTOR'S Spl"/>
      <sheetName val="ODUD"/>
      <sheetName val="MinVoltage"/>
      <sheetName val="MiscDataEntry"/>
      <sheetName val="CE1"/>
      <sheetName val="CE2"/>
      <sheetName val="7 DAYS"/>
      <sheetName val="PSP1"/>
      <sheetName val="PSP2"/>
      <sheetName val="Data"/>
      <sheetName val="TraderingDetails"/>
      <sheetName val="SYSTEM DATA"/>
      <sheetName val="CEA"/>
      <sheetName val="PsDataEntry"/>
      <sheetName val="REG10"/>
      <sheetName val="CM's (New)"/>
      <sheetName val="CM's"/>
      <sheetName val="HydroDatails"/>
      <sheetName val="Rl-Ul-Hz-ScH"/>
      <sheetName val="Member 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454">
          <cell r="H454">
            <v>0.33611111111111103</v>
          </cell>
        </row>
        <row r="455">
          <cell r="H455">
            <v>0.34652777777777799</v>
          </cell>
        </row>
        <row r="456">
          <cell r="H456">
            <v>0.375</v>
          </cell>
        </row>
        <row r="460">
          <cell r="H460">
            <v>1.59722222222222E-2</v>
          </cell>
        </row>
        <row r="461">
          <cell r="H461">
            <v>2.0833333333333301E-2</v>
          </cell>
        </row>
        <row r="462">
          <cell r="H462">
            <v>2.7777777777777801E-2</v>
          </cell>
        </row>
        <row r="463">
          <cell r="H463">
            <v>2.0833333333333301E-2</v>
          </cell>
        </row>
        <row r="464">
          <cell r="H464">
            <v>1.59722222222222E-2</v>
          </cell>
        </row>
      </sheetData>
      <sheetData sheetId="15" refreshError="1"/>
      <sheetData sheetId="16" refreshError="1"/>
      <sheetData sheetId="17" refreshError="1"/>
      <sheetData sheetId="18" refreshError="1">
        <row r="162">
          <cell r="B162">
            <v>0.76597222222222217</v>
          </cell>
        </row>
        <row r="163">
          <cell r="B163">
            <v>0.53402777777777777</v>
          </cell>
        </row>
        <row r="164">
          <cell r="B164">
            <v>0.47916666666666669</v>
          </cell>
        </row>
        <row r="168">
          <cell r="B168">
            <v>0</v>
          </cell>
        </row>
        <row r="169">
          <cell r="B169">
            <v>0</v>
          </cell>
        </row>
        <row r="170">
          <cell r="B170">
            <v>0</v>
          </cell>
        </row>
        <row r="171">
          <cell r="B171">
            <v>0</v>
          </cell>
        </row>
        <row r="172">
          <cell r="B172">
            <v>0</v>
          </cell>
        </row>
      </sheetData>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erSplit"/>
      <sheetName val="Organic Scav"/>
      <sheetName val="Air consumption"/>
      <sheetName val="Power consump"/>
      <sheetName val="Chem consump"/>
      <sheetName val="Co-current"/>
      <sheetName val="DMFHoriz"/>
      <sheetName val="DMFVert"/>
      <sheetName val="Counter "/>
      <sheetName val="Pipe Sizing"/>
      <sheetName val="RO Cleaning"/>
      <sheetName val="UPCORE"/>
      <sheetName val="MixBed"/>
      <sheetName val="Analy"/>
      <sheetName val="CondPol"/>
      <sheetName val="Sheet1"/>
      <sheetName val="CaCO3 Conversion"/>
      <sheetName val="Storage Tank"/>
      <sheetName val="ACF"/>
      <sheetName val="Clarifier"/>
      <sheetName val="Sheet23"/>
      <sheetName val="pHadj"/>
      <sheetName val="Degasif"/>
      <sheetName val="Filter Press"/>
      <sheetName val="Dosing"/>
      <sheetName val="Neutralization"/>
      <sheetName val="Greensand"/>
      <sheetName val="Soft Exchanger"/>
      <sheetName val="Organic_Scav"/>
      <sheetName val="Air_consumption"/>
      <sheetName val="Power_consump"/>
      <sheetName val="Chem_consump"/>
      <sheetName val="Counter_"/>
      <sheetName val="Pipe_Sizing"/>
      <sheetName val="RO_Cleaning"/>
      <sheetName val="CaCO3_Conversion"/>
      <sheetName val="Storage_Tank"/>
      <sheetName val="Filter_Press"/>
      <sheetName val="Soft_Exchanger"/>
      <sheetName val="BS-203"/>
      <sheetName val="Sheet6"/>
      <sheetName val="Eq. Mobilization"/>
      <sheetName val="Financial Estimates"/>
      <sheetName val="Input"/>
      <sheetName val="val6"/>
      <sheetName val="rough"/>
      <sheetName val="Organic_Scav1"/>
      <sheetName val="Air_consumption1"/>
      <sheetName val="Power_consump1"/>
      <sheetName val="Chem_consump1"/>
      <sheetName val="Counter_1"/>
      <sheetName val="Pipe_Sizing1"/>
      <sheetName val="RO_Cleaning1"/>
      <sheetName val="CaCO3_Conversion1"/>
      <sheetName val="Storage_Tank1"/>
      <sheetName val="Filter_Press1"/>
      <sheetName val="Soft_Exchanger1"/>
      <sheetName val="FBT Calcul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row r="68">
          <cell r="F68">
            <v>3.5959844104579464</v>
          </cell>
        </row>
        <row r="69">
          <cell r="F69">
            <v>1.7979922052289734</v>
          </cell>
        </row>
        <row r="70">
          <cell r="F70">
            <v>0</v>
          </cell>
        </row>
        <row r="71">
          <cell r="F71">
            <v>5.3939766156869196</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 02 Est.at Existing Tariff"/>
      <sheetName val="Financial Estimates"/>
      <sheetName val="Sheet1"/>
      <sheetName val="Sheet2"/>
      <sheetName val="Sheet3"/>
      <sheetName val="#REF"/>
      <sheetName val="Fixed Charge"/>
      <sheetName val="FAC (Running FAC)"/>
      <sheetName val="per unit"/>
      <sheetName val="ins spares"/>
      <sheetName val="Dailysource"/>
    </sheetNames>
    <sheetDataSet>
      <sheetData sheetId="0" refreshError="1"/>
      <sheetData sheetId="1" refreshError="1">
        <row r="8">
          <cell r="A8" t="str">
            <v>AI.</v>
          </cell>
          <cell r="B8" t="str">
            <v>ENERGY DISTRIBUTED(MUS)</v>
          </cell>
        </row>
        <row r="10">
          <cell r="A10">
            <v>1</v>
          </cell>
          <cell r="B10" t="str">
            <v>SALES TO TPC'S CONSUMERS</v>
          </cell>
        </row>
        <row r="11">
          <cell r="B11" t="str">
            <v>TEXTILES</v>
          </cell>
          <cell r="C11">
            <v>499</v>
          </cell>
          <cell r="D11">
            <v>500</v>
          </cell>
        </row>
        <row r="12">
          <cell r="B12" t="str">
            <v>HT INDUSTRIES</v>
          </cell>
          <cell r="C12">
            <v>769</v>
          </cell>
          <cell r="D12">
            <v>754</v>
          </cell>
        </row>
        <row r="13">
          <cell r="B13" t="str">
            <v>HT COMMERCIAL</v>
          </cell>
          <cell r="C13">
            <v>0</v>
          </cell>
          <cell r="D13">
            <v>0</v>
          </cell>
        </row>
        <row r="14">
          <cell r="B14" t="str">
            <v>LT INDUSTRIES (SINGLE PART) (incl.Resi.)</v>
          </cell>
          <cell r="C14">
            <v>49</v>
          </cell>
          <cell r="D14">
            <v>81</v>
          </cell>
        </row>
        <row r="15">
          <cell r="B15" t="str">
            <v>LT INDUSTRIES (TWO PART)</v>
          </cell>
          <cell r="C15">
            <v>50</v>
          </cell>
          <cell r="D15">
            <v>80</v>
          </cell>
        </row>
        <row r="16">
          <cell r="B16" t="str">
            <v>LT COMMERCIAL (SINGLE PART)</v>
          </cell>
          <cell r="C16">
            <v>0</v>
          </cell>
          <cell r="D16">
            <v>0</v>
          </cell>
        </row>
        <row r="17">
          <cell r="B17" t="str">
            <v>LT COMMERCIAL (TWO PART)</v>
          </cell>
          <cell r="C17">
            <v>0</v>
          </cell>
          <cell r="D17">
            <v>0</v>
          </cell>
        </row>
        <row r="18">
          <cell r="B18" t="str">
            <v>RESIDENTIAL</v>
          </cell>
          <cell r="C18">
            <v>0</v>
          </cell>
          <cell r="D18">
            <v>0</v>
          </cell>
        </row>
        <row r="19">
          <cell r="B19" t="str">
            <v>RAILWAYS(INCL.INTERCHANGE)</v>
          </cell>
          <cell r="C19">
            <v>712</v>
          </cell>
          <cell r="D19">
            <v>720</v>
          </cell>
        </row>
        <row r="20">
          <cell r="C20" t="str">
            <v>----</v>
          </cell>
          <cell r="D20" t="str">
            <v>----</v>
          </cell>
        </row>
        <row r="21">
          <cell r="B21" t="str">
            <v>TOTAL (DIRECT CONSUMERS)</v>
          </cell>
          <cell r="C21">
            <v>2079</v>
          </cell>
          <cell r="D21">
            <v>2135</v>
          </cell>
        </row>
        <row r="22">
          <cell r="C22" t="str">
            <v>----</v>
          </cell>
          <cell r="D22" t="str">
            <v>----</v>
          </cell>
        </row>
        <row r="23">
          <cell r="B23" t="str">
            <v>BEST</v>
          </cell>
          <cell r="C23">
            <v>3608</v>
          </cell>
          <cell r="D23">
            <v>3670</v>
          </cell>
        </row>
        <row r="24">
          <cell r="B24" t="str">
            <v>BSES (22 KV/ 33 KV SUPPLY)</v>
          </cell>
          <cell r="C24">
            <v>2727</v>
          </cell>
          <cell r="D24">
            <v>2865</v>
          </cell>
        </row>
        <row r="25">
          <cell r="B25" t="str">
            <v>BSES (220 KV INTERCONNECTION)</v>
          </cell>
          <cell r="C25">
            <v>252</v>
          </cell>
          <cell r="D25">
            <v>235</v>
          </cell>
        </row>
        <row r="26">
          <cell r="B26" t="str">
            <v>BSES (TOTAL)</v>
          </cell>
          <cell r="C26">
            <v>2979</v>
          </cell>
          <cell r="D26">
            <v>3100</v>
          </cell>
        </row>
        <row r="27">
          <cell r="C27" t="str">
            <v>----</v>
          </cell>
          <cell r="D27" t="str">
            <v>----</v>
          </cell>
        </row>
        <row r="28">
          <cell r="B28" t="str">
            <v>BEST &amp; BSES- TOTAL</v>
          </cell>
          <cell r="C28">
            <v>6587</v>
          </cell>
          <cell r="D28">
            <v>6770</v>
          </cell>
        </row>
        <row r="29">
          <cell r="C29" t="str">
            <v>-----</v>
          </cell>
          <cell r="D29" t="str">
            <v>-----</v>
          </cell>
        </row>
        <row r="30">
          <cell r="B30" t="str">
            <v>TOTAL SALES</v>
          </cell>
          <cell r="C30">
            <v>8666</v>
          </cell>
          <cell r="D30">
            <v>8905</v>
          </cell>
        </row>
        <row r="31">
          <cell r="C31" t="str">
            <v>=====</v>
          </cell>
          <cell r="D31" t="str">
            <v>=====</v>
          </cell>
        </row>
        <row r="33">
          <cell r="A33">
            <v>2</v>
          </cell>
          <cell r="B33" t="str">
            <v>ENERGY ASSISTANCE TO MSEB</v>
          </cell>
          <cell r="C33">
            <v>480</v>
          </cell>
          <cell r="D33">
            <v>340</v>
          </cell>
        </row>
        <row r="35">
          <cell r="A35">
            <v>3</v>
          </cell>
          <cell r="B35" t="str">
            <v>SALES TO OTHER STATE UTILITIES</v>
          </cell>
          <cell r="C35">
            <v>0</v>
          </cell>
          <cell r="D35">
            <v>200</v>
          </cell>
        </row>
        <row r="37">
          <cell r="A37">
            <v>4</v>
          </cell>
          <cell r="B37" t="str">
            <v>TOTAL SALES INCLUDING MSEB AND OTHER STATES</v>
          </cell>
          <cell r="C37">
            <v>9146</v>
          </cell>
          <cell r="D37">
            <v>9445</v>
          </cell>
        </row>
        <row r="39">
          <cell r="A39">
            <v>5</v>
          </cell>
          <cell r="B39" t="str">
            <v>22 KV WHEELING FOR MSEB</v>
          </cell>
          <cell r="C39">
            <v>1530</v>
          </cell>
          <cell r="D39">
            <v>1530</v>
          </cell>
        </row>
        <row r="41">
          <cell r="A41">
            <v>6</v>
          </cell>
          <cell r="B41" t="str">
            <v xml:space="preserve">TOTAL ENERGY DISTRIBUTED </v>
          </cell>
          <cell r="C41">
            <v>10676</v>
          </cell>
          <cell r="D41">
            <v>10975</v>
          </cell>
        </row>
        <row r="43">
          <cell r="A43" t="str">
            <v>AII.</v>
          </cell>
          <cell r="B43" t="str">
            <v>RKVAH (MUs)</v>
          </cell>
        </row>
        <row r="45">
          <cell r="B45" t="str">
            <v>TEXTILES</v>
          </cell>
          <cell r="C45">
            <v>0</v>
          </cell>
          <cell r="D45">
            <v>0</v>
          </cell>
        </row>
        <row r="46">
          <cell r="B46" t="str">
            <v>HT INDUSTRIES</v>
          </cell>
          <cell r="C46">
            <v>0</v>
          </cell>
          <cell r="D46">
            <v>0</v>
          </cell>
        </row>
        <row r="47">
          <cell r="B47" t="str">
            <v>HT COMMERCIAL</v>
          </cell>
          <cell r="C47">
            <v>0</v>
          </cell>
          <cell r="D47">
            <v>0</v>
          </cell>
        </row>
        <row r="48">
          <cell r="B48" t="str">
            <v>LT INDUSTRIES (TWO PART TARIFF)</v>
          </cell>
          <cell r="C48">
            <v>0</v>
          </cell>
          <cell r="D48">
            <v>0</v>
          </cell>
        </row>
        <row r="49">
          <cell r="B49" t="str">
            <v>LT COMMERCIAL (TWO PART TARIFF)</v>
          </cell>
          <cell r="C49">
            <v>0</v>
          </cell>
          <cell r="D49">
            <v>0</v>
          </cell>
        </row>
        <row r="50">
          <cell r="B50" t="str">
            <v>RAILWAYS(INCL.INTERCHANGE)</v>
          </cell>
          <cell r="C50">
            <v>0</v>
          </cell>
          <cell r="D50">
            <v>0</v>
          </cell>
        </row>
        <row r="51">
          <cell r="C51" t="str">
            <v>-----</v>
          </cell>
          <cell r="D51" t="str">
            <v>-----</v>
          </cell>
        </row>
        <row r="52">
          <cell r="B52" t="str">
            <v>TOTAL TEX./IND./COMM/RLYS</v>
          </cell>
          <cell r="C52">
            <v>0</v>
          </cell>
          <cell r="D52">
            <v>0</v>
          </cell>
        </row>
        <row r="54">
          <cell r="B54" t="str">
            <v>BEST</v>
          </cell>
          <cell r="C54">
            <v>0</v>
          </cell>
          <cell r="D54">
            <v>0</v>
          </cell>
        </row>
        <row r="55">
          <cell r="B55" t="str">
            <v>BSES (22 KV)</v>
          </cell>
          <cell r="C55">
            <v>0</v>
          </cell>
          <cell r="D55">
            <v>0</v>
          </cell>
        </row>
        <row r="56">
          <cell r="B56" t="str">
            <v>BSES (220 KV)</v>
          </cell>
          <cell r="C56">
            <v>0</v>
          </cell>
          <cell r="D56">
            <v>0</v>
          </cell>
        </row>
        <row r="57">
          <cell r="C57" t="str">
            <v>-----</v>
          </cell>
          <cell r="D57" t="str">
            <v>-----</v>
          </cell>
        </row>
        <row r="58">
          <cell r="B58" t="str">
            <v>TOTAL</v>
          </cell>
          <cell r="C58">
            <v>0</v>
          </cell>
          <cell r="D58">
            <v>0</v>
          </cell>
        </row>
        <row r="61">
          <cell r="A61" t="str">
            <v>AII.</v>
          </cell>
          <cell r="B61" t="str">
            <v>MAXIMUM DEMAND (MVA)</v>
          </cell>
        </row>
        <row r="63">
          <cell r="B63" t="str">
            <v>TEXTILES</v>
          </cell>
          <cell r="C63">
            <v>989</v>
          </cell>
          <cell r="D63">
            <v>991</v>
          </cell>
        </row>
        <row r="64">
          <cell r="B64" t="str">
            <v>HT INDUSTRIES</v>
          </cell>
          <cell r="C64">
            <v>2368</v>
          </cell>
          <cell r="D64">
            <v>2322</v>
          </cell>
        </row>
        <row r="65">
          <cell r="B65" t="str">
            <v>HT COMMERCIAL</v>
          </cell>
          <cell r="C65">
            <v>0</v>
          </cell>
          <cell r="D65">
            <v>0</v>
          </cell>
        </row>
        <row r="66">
          <cell r="B66" t="str">
            <v>LT INDUSTRIES (TWO PART TARIFF)</v>
          </cell>
          <cell r="C66">
            <v>187</v>
          </cell>
          <cell r="D66">
            <v>299</v>
          </cell>
        </row>
        <row r="67">
          <cell r="B67" t="str">
            <v>LT COMMERCIAL (TWO PART TARIFF)</v>
          </cell>
          <cell r="C67">
            <v>0</v>
          </cell>
          <cell r="D67">
            <v>0</v>
          </cell>
        </row>
        <row r="68">
          <cell r="B68" t="str">
            <v>RAILWAYS(INCL.INTERCHANGE)</v>
          </cell>
          <cell r="C68">
            <v>1895</v>
          </cell>
          <cell r="D68">
            <v>1916</v>
          </cell>
        </row>
        <row r="69">
          <cell r="C69" t="str">
            <v>-----</v>
          </cell>
          <cell r="D69" t="str">
            <v>-----</v>
          </cell>
        </row>
        <row r="70">
          <cell r="B70" t="str">
            <v>TOTAL (DIRECT CONSUMERS)</v>
          </cell>
          <cell r="C70">
            <v>5439</v>
          </cell>
          <cell r="D70">
            <v>5528</v>
          </cell>
        </row>
        <row r="72">
          <cell r="B72" t="str">
            <v>BEST</v>
          </cell>
          <cell r="C72">
            <v>7821</v>
          </cell>
          <cell r="D72">
            <v>7955</v>
          </cell>
        </row>
        <row r="73">
          <cell r="B73" t="str">
            <v>BSES (22 KV/ 33 KV SUPPLY)</v>
          </cell>
          <cell r="C73">
            <v>6552</v>
          </cell>
          <cell r="D73">
            <v>6884</v>
          </cell>
        </row>
        <row r="74">
          <cell r="C74" t="str">
            <v>-----</v>
          </cell>
          <cell r="D74" t="str">
            <v>-----</v>
          </cell>
        </row>
        <row r="75">
          <cell r="B75" t="str">
            <v>TOTAL</v>
          </cell>
          <cell r="C75">
            <v>19812</v>
          </cell>
          <cell r="D75">
            <v>20367</v>
          </cell>
        </row>
        <row r="76">
          <cell r="C76" t="str">
            <v>-----</v>
          </cell>
          <cell r="D76" t="str">
            <v>-----</v>
          </cell>
        </row>
        <row r="78">
          <cell r="A78" t="str">
            <v>B.</v>
          </cell>
          <cell r="B78" t="str">
            <v>TPC GENERATION(MUS)</v>
          </cell>
        </row>
        <row r="80">
          <cell r="A80">
            <v>1</v>
          </cell>
          <cell r="B80" t="str">
            <v>HYDRO</v>
          </cell>
        </row>
        <row r="81">
          <cell r="B81" t="str">
            <v>FROM NATURAL SOURCE OF WATER</v>
          </cell>
          <cell r="C81">
            <v>1300</v>
          </cell>
          <cell r="D81">
            <v>1300</v>
          </cell>
        </row>
        <row r="82">
          <cell r="B82" t="str">
            <v>PEAKING ENERGY FROM PUMPED WATER</v>
          </cell>
          <cell r="C82">
            <v>0</v>
          </cell>
          <cell r="D82">
            <v>0</v>
          </cell>
        </row>
        <row r="83">
          <cell r="B83" t="str">
            <v>TOTAL</v>
          </cell>
          <cell r="C83">
            <v>1300</v>
          </cell>
          <cell r="D83">
            <v>1300</v>
          </cell>
        </row>
        <row r="85">
          <cell r="A85">
            <v>2</v>
          </cell>
          <cell r="B85" t="str">
            <v>THERMAL</v>
          </cell>
        </row>
        <row r="86">
          <cell r="B86" t="str">
            <v>UNIT NO.4</v>
          </cell>
          <cell r="C86">
            <v>814</v>
          </cell>
          <cell r="D86">
            <v>873</v>
          </cell>
        </row>
        <row r="87">
          <cell r="B87" t="str">
            <v>UNIT NO.5</v>
          </cell>
          <cell r="C87">
            <v>3295</v>
          </cell>
          <cell r="D87">
            <v>3941</v>
          </cell>
        </row>
        <row r="88">
          <cell r="B88" t="str">
            <v>UNIT NO.6</v>
          </cell>
          <cell r="C88">
            <v>3117</v>
          </cell>
          <cell r="D88">
            <v>2872</v>
          </cell>
        </row>
        <row r="89">
          <cell r="B89" t="str">
            <v>UNIT NOS.7 AS GT</v>
          </cell>
          <cell r="C89">
            <v>0</v>
          </cell>
          <cell r="D89">
            <v>0</v>
          </cell>
        </row>
        <row r="90">
          <cell r="B90" t="str">
            <v>UNIT NO.7</v>
          </cell>
          <cell r="C90">
            <v>1241</v>
          </cell>
          <cell r="D90">
            <v>1146</v>
          </cell>
        </row>
        <row r="91">
          <cell r="C91" t="str">
            <v>-----</v>
          </cell>
          <cell r="D91" t="str">
            <v>-----</v>
          </cell>
        </row>
        <row r="92">
          <cell r="B92" t="str">
            <v>TOTAL THERMAL GENERATION</v>
          </cell>
          <cell r="C92">
            <v>8467</v>
          </cell>
          <cell r="D92">
            <v>8832</v>
          </cell>
        </row>
        <row r="93">
          <cell r="C93" t="str">
            <v>-----</v>
          </cell>
          <cell r="D93" t="str">
            <v>-----</v>
          </cell>
        </row>
        <row r="95">
          <cell r="A95">
            <v>4</v>
          </cell>
          <cell r="B95" t="str">
            <v>TOTAL TPC GENERATION</v>
          </cell>
          <cell r="C95">
            <v>9767</v>
          </cell>
          <cell r="D95">
            <v>10132</v>
          </cell>
        </row>
        <row r="97">
          <cell r="A97">
            <v>5</v>
          </cell>
          <cell r="B97" t="str">
            <v>AUXILIARY CONSUMPTION</v>
          </cell>
          <cell r="C97">
            <v>397</v>
          </cell>
          <cell r="D97">
            <v>429</v>
          </cell>
        </row>
        <row r="98">
          <cell r="A98">
            <v>6</v>
          </cell>
          <cell r="B98" t="str">
            <v>ENERGY REQ.FOR PUMPING</v>
          </cell>
          <cell r="C98">
            <v>0</v>
          </cell>
          <cell r="D98">
            <v>0</v>
          </cell>
        </row>
        <row r="99">
          <cell r="C99" t="str">
            <v>-----</v>
          </cell>
          <cell r="D99" t="str">
            <v>-----</v>
          </cell>
        </row>
        <row r="100">
          <cell r="A100">
            <v>6</v>
          </cell>
          <cell r="B100" t="str">
            <v>NET TPC GENERATION</v>
          </cell>
          <cell r="C100">
            <v>9370</v>
          </cell>
          <cell r="D100">
            <v>9703</v>
          </cell>
        </row>
        <row r="101">
          <cell r="C101" t="str">
            <v>=====</v>
          </cell>
          <cell r="D101" t="str">
            <v>=====</v>
          </cell>
        </row>
        <row r="102">
          <cell r="A102" t="str">
            <v>C.</v>
          </cell>
          <cell r="B102" t="str">
            <v>PURCHASES FROM MSEB(MUS)</v>
          </cell>
        </row>
        <row r="104">
          <cell r="A104">
            <v>1</v>
          </cell>
          <cell r="B104" t="str">
            <v xml:space="preserve">T&amp;D LOSSES </v>
          </cell>
          <cell r="C104">
            <v>224</v>
          </cell>
          <cell r="D104">
            <v>258</v>
          </cell>
        </row>
        <row r="105">
          <cell r="A105">
            <v>2</v>
          </cell>
          <cell r="B105" t="str">
            <v>EX BUS REQUIREMENT</v>
          </cell>
          <cell r="C105">
            <v>10900</v>
          </cell>
          <cell r="D105">
            <v>11233</v>
          </cell>
        </row>
        <row r="106">
          <cell r="A106">
            <v>3</v>
          </cell>
          <cell r="B106" t="str">
            <v>GROSS PURCHASE</v>
          </cell>
          <cell r="C106">
            <v>1530</v>
          </cell>
          <cell r="D106">
            <v>1530</v>
          </cell>
        </row>
        <row r="107">
          <cell r="A107">
            <v>4</v>
          </cell>
          <cell r="B107" t="str">
            <v>22 KV WHEELING FOR MSEB</v>
          </cell>
          <cell r="C107">
            <v>1530</v>
          </cell>
          <cell r="D107">
            <v>1530</v>
          </cell>
        </row>
        <row r="108">
          <cell r="A108">
            <v>5</v>
          </cell>
          <cell r="B108" t="str">
            <v>NET PURCHASE</v>
          </cell>
          <cell r="C108">
            <v>0</v>
          </cell>
          <cell r="D108">
            <v>0</v>
          </cell>
        </row>
        <row r="110">
          <cell r="A110" t="str">
            <v>D.</v>
          </cell>
          <cell r="B110" t="str">
            <v>REVENUE (Rs.LAKHS)</v>
          </cell>
        </row>
        <row r="112">
          <cell r="A112">
            <v>1</v>
          </cell>
          <cell r="B112" t="str">
            <v>BASIC REVENUE</v>
          </cell>
        </row>
        <row r="113">
          <cell r="B113" t="str">
            <v>A) ENERGY CHARGES</v>
          </cell>
        </row>
        <row r="114">
          <cell r="B114" t="str">
            <v>TEXTILES</v>
          </cell>
          <cell r="C114">
            <v>9823</v>
          </cell>
          <cell r="D114">
            <v>9850</v>
          </cell>
        </row>
        <row r="115">
          <cell r="B115" t="str">
            <v>HT INDUSTRIES</v>
          </cell>
          <cell r="C115">
            <v>14984</v>
          </cell>
          <cell r="D115">
            <v>14854</v>
          </cell>
        </row>
        <row r="116">
          <cell r="B116" t="str">
            <v>HT COMMERCIAL</v>
          </cell>
          <cell r="C116">
            <v>0</v>
          </cell>
          <cell r="D116">
            <v>0</v>
          </cell>
        </row>
        <row r="117">
          <cell r="B117" t="str">
            <v>LT INDUSTRIES (SINGLE PART TARIFF) (incl. Resi.)</v>
          </cell>
          <cell r="C117">
            <v>1280</v>
          </cell>
          <cell r="D117">
            <v>2203</v>
          </cell>
        </row>
        <row r="118">
          <cell r="B118" t="str">
            <v>LT INDUSTRIES (TWO PART TARIFF)</v>
          </cell>
          <cell r="C118">
            <v>1132</v>
          </cell>
          <cell r="D118">
            <v>1616</v>
          </cell>
        </row>
        <row r="119">
          <cell r="B119" t="str">
            <v>LT COMMERCIAL (SINGLE PART TARIFF)</v>
          </cell>
          <cell r="C119">
            <v>0</v>
          </cell>
          <cell r="D119">
            <v>0</v>
          </cell>
        </row>
        <row r="120">
          <cell r="B120" t="str">
            <v>LT COMMERCIAL (TWO PART TARIFF)</v>
          </cell>
          <cell r="C120">
            <v>0</v>
          </cell>
          <cell r="D120">
            <v>0</v>
          </cell>
        </row>
        <row r="121">
          <cell r="B121" t="str">
            <v>RESIDENTIAL</v>
          </cell>
          <cell r="C121">
            <v>0</v>
          </cell>
          <cell r="D121">
            <v>0</v>
          </cell>
        </row>
        <row r="122">
          <cell r="B122" t="str">
            <v>RAILWAYS</v>
          </cell>
          <cell r="C122">
            <v>13996</v>
          </cell>
          <cell r="D122">
            <v>14184</v>
          </cell>
        </row>
        <row r="123">
          <cell r="B123" t="str">
            <v>TOTAL (DIRECT CONSUMERS)</v>
          </cell>
          <cell r="C123">
            <v>41215</v>
          </cell>
          <cell r="D123">
            <v>42707</v>
          </cell>
        </row>
        <row r="124">
          <cell r="B124" t="str">
            <v>BEST</v>
          </cell>
          <cell r="C124">
            <v>63429</v>
          </cell>
          <cell r="D124">
            <v>64959</v>
          </cell>
        </row>
        <row r="125">
          <cell r="B125" t="str">
            <v>BSES (22 KV/ 33 KV)</v>
          </cell>
          <cell r="C125">
            <v>48269</v>
          </cell>
          <cell r="D125">
            <v>50711</v>
          </cell>
        </row>
        <row r="126">
          <cell r="B126" t="str">
            <v>BSES (220 KV)</v>
          </cell>
          <cell r="C126">
            <v>5267</v>
          </cell>
          <cell r="D126">
            <v>4912</v>
          </cell>
        </row>
        <row r="127">
          <cell r="B127" t="str">
            <v>BSES (TOTAL)</v>
          </cell>
          <cell r="C127">
            <v>53536</v>
          </cell>
          <cell r="D127">
            <v>55623</v>
          </cell>
        </row>
        <row r="128">
          <cell r="C128" t="str">
            <v>------</v>
          </cell>
          <cell r="D128" t="str">
            <v>------</v>
          </cell>
        </row>
        <row r="129">
          <cell r="B129" t="str">
            <v>TOTAL</v>
          </cell>
          <cell r="C129">
            <v>157520</v>
          </cell>
          <cell r="D129">
            <v>163289</v>
          </cell>
        </row>
        <row r="131">
          <cell r="B131" t="str">
            <v>B) RKVAH CHARGES</v>
          </cell>
        </row>
        <row r="132">
          <cell r="B132" t="str">
            <v>TEXTILES</v>
          </cell>
          <cell r="C132">
            <v>0</v>
          </cell>
          <cell r="D132">
            <v>0</v>
          </cell>
        </row>
        <row r="133">
          <cell r="B133" t="str">
            <v>HT INDUSTRIES</v>
          </cell>
          <cell r="C133">
            <v>0</v>
          </cell>
          <cell r="D133">
            <v>0</v>
          </cell>
        </row>
        <row r="134">
          <cell r="B134" t="str">
            <v>HT COMMERCIAL</v>
          </cell>
          <cell r="C134">
            <v>0</v>
          </cell>
          <cell r="D134">
            <v>0</v>
          </cell>
        </row>
        <row r="135">
          <cell r="B135" t="str">
            <v>LT INDUSTRIES (TWO PART TARIFF)</v>
          </cell>
          <cell r="C135">
            <v>0</v>
          </cell>
          <cell r="D135">
            <v>0</v>
          </cell>
        </row>
        <row r="136">
          <cell r="B136" t="str">
            <v>LT COMMERCIAL (TWO PART TARIFF)</v>
          </cell>
          <cell r="C136">
            <v>0</v>
          </cell>
          <cell r="D136">
            <v>0</v>
          </cell>
        </row>
        <row r="137">
          <cell r="B137" t="str">
            <v>RAILWAYS</v>
          </cell>
          <cell r="C137">
            <v>0</v>
          </cell>
          <cell r="D137">
            <v>0</v>
          </cell>
        </row>
        <row r="138">
          <cell r="B138" t="str">
            <v>TOTAL (DIRECT CONSUMERS)</v>
          </cell>
          <cell r="C138">
            <v>0</v>
          </cell>
          <cell r="D138">
            <v>0</v>
          </cell>
        </row>
        <row r="139">
          <cell r="B139" t="str">
            <v>BEST</v>
          </cell>
          <cell r="C139">
            <v>0</v>
          </cell>
          <cell r="D139">
            <v>0</v>
          </cell>
        </row>
        <row r="140">
          <cell r="B140" t="str">
            <v>BSES (22 KV/ 33KV)</v>
          </cell>
          <cell r="C140">
            <v>0</v>
          </cell>
          <cell r="D140">
            <v>0</v>
          </cell>
        </row>
        <row r="141">
          <cell r="B141" t="str">
            <v>BSES (220 KV)</v>
          </cell>
          <cell r="C141">
            <v>0</v>
          </cell>
          <cell r="D141">
            <v>0</v>
          </cell>
        </row>
        <row r="142">
          <cell r="C142" t="str">
            <v>-----</v>
          </cell>
          <cell r="D142" t="str">
            <v>-----</v>
          </cell>
        </row>
        <row r="143">
          <cell r="B143" t="str">
            <v>TOTAL</v>
          </cell>
          <cell r="C143">
            <v>0</v>
          </cell>
          <cell r="D143">
            <v>0</v>
          </cell>
        </row>
        <row r="144">
          <cell r="C144" t="str">
            <v>-----</v>
          </cell>
          <cell r="D144" t="str">
            <v>-----</v>
          </cell>
        </row>
        <row r="145">
          <cell r="B145" t="str">
            <v>B) M.D.CHARGES</v>
          </cell>
        </row>
        <row r="146">
          <cell r="B146" t="str">
            <v>TEXTILES</v>
          </cell>
          <cell r="C146">
            <v>1681</v>
          </cell>
          <cell r="D146">
            <v>1685</v>
          </cell>
        </row>
        <row r="147">
          <cell r="B147" t="str">
            <v>HT INDUSTRIES</v>
          </cell>
          <cell r="C147">
            <v>4774</v>
          </cell>
          <cell r="D147">
            <v>3947</v>
          </cell>
        </row>
        <row r="148">
          <cell r="B148" t="str">
            <v>HT COMMERCIAL</v>
          </cell>
          <cell r="C148">
            <v>0</v>
          </cell>
          <cell r="D148">
            <v>0</v>
          </cell>
        </row>
        <row r="149">
          <cell r="B149" t="str">
            <v>LT INDUSTRIES (TWO PART TARIFF)</v>
          </cell>
          <cell r="C149">
            <v>327</v>
          </cell>
          <cell r="D149">
            <v>523</v>
          </cell>
        </row>
        <row r="150">
          <cell r="B150" t="str">
            <v>LT COMMERCIAL (TWO PART TARIFF)</v>
          </cell>
          <cell r="C150">
            <v>0</v>
          </cell>
          <cell r="D150">
            <v>0</v>
          </cell>
        </row>
        <row r="151">
          <cell r="B151" t="str">
            <v>RAILWAYS</v>
          </cell>
          <cell r="C151">
            <v>3211</v>
          </cell>
          <cell r="D151">
            <v>3257</v>
          </cell>
        </row>
        <row r="152">
          <cell r="B152" t="str">
            <v>TOTAL (DIRECT CONSUMERS)</v>
          </cell>
          <cell r="C152">
            <v>9993</v>
          </cell>
          <cell r="D152">
            <v>9412</v>
          </cell>
        </row>
        <row r="153">
          <cell r="B153" t="str">
            <v>BEST</v>
          </cell>
          <cell r="C153">
            <v>13201</v>
          </cell>
          <cell r="D153">
            <v>13524</v>
          </cell>
        </row>
        <row r="154">
          <cell r="B154" t="str">
            <v>BSES (22 KV/ 33KV)</v>
          </cell>
          <cell r="C154">
            <v>13104</v>
          </cell>
          <cell r="D154">
            <v>13768</v>
          </cell>
        </row>
        <row r="155">
          <cell r="C155" t="str">
            <v>-----</v>
          </cell>
          <cell r="D155" t="str">
            <v>-----</v>
          </cell>
        </row>
        <row r="156">
          <cell r="B156" t="str">
            <v>TOTAL</v>
          </cell>
          <cell r="C156">
            <v>36298</v>
          </cell>
          <cell r="D156">
            <v>36704</v>
          </cell>
        </row>
        <row r="157">
          <cell r="C157" t="str">
            <v>-----</v>
          </cell>
          <cell r="D157" t="str">
            <v>-----</v>
          </cell>
        </row>
        <row r="159">
          <cell r="B159" t="str">
            <v>LESS 100 KV REBATE</v>
          </cell>
          <cell r="C159">
            <v>0</v>
          </cell>
          <cell r="D159">
            <v>0</v>
          </cell>
        </row>
        <row r="160">
          <cell r="B160" t="str">
            <v>ADD STANDBY CH. (FROM CAPTIVE UNIT CONSUMERS)</v>
          </cell>
          <cell r="C160">
            <v>0</v>
          </cell>
          <cell r="D160">
            <v>0</v>
          </cell>
        </row>
        <row r="161">
          <cell r="B161" t="str">
            <v>ADD ADDITIONAL MD CHARGES FROM BSES (22/33KV)</v>
          </cell>
          <cell r="C161">
            <v>0</v>
          </cell>
        </row>
        <row r="162">
          <cell r="B162" t="str">
            <v>BASIC REVENUE FROM MSEB FOR ENERGY ASSISTANCE</v>
          </cell>
          <cell r="C162">
            <v>6098</v>
          </cell>
          <cell r="D162">
            <v>4281</v>
          </cell>
        </row>
        <row r="164">
          <cell r="B164" t="str">
            <v>BASIC REVENUE FROM SALE TO OTHER STATE UTILITIES</v>
          </cell>
          <cell r="C164">
            <v>0</v>
          </cell>
          <cell r="D164">
            <v>2518</v>
          </cell>
        </row>
        <row r="166">
          <cell r="B166" t="str">
            <v>TOTAL BASIC REVENUE</v>
          </cell>
          <cell r="C166">
            <v>199916</v>
          </cell>
          <cell r="D166">
            <v>206792</v>
          </cell>
        </row>
        <row r="167">
          <cell r="C167" t="str">
            <v>======</v>
          </cell>
          <cell r="D167" t="str">
            <v>======</v>
          </cell>
        </row>
        <row r="169">
          <cell r="B169" t="str">
            <v>BASIC REVENUE RATE (PAISE/KWH)</v>
          </cell>
          <cell r="C169">
            <v>230.69</v>
          </cell>
          <cell r="D169">
            <v>232.22</v>
          </cell>
        </row>
        <row r="171">
          <cell r="A171">
            <v>2</v>
          </cell>
          <cell r="B171" t="str">
            <v>SURCHARGE (TAX ON SALE OF ELECTRICITY)</v>
          </cell>
          <cell r="C171">
            <v>10999</v>
          </cell>
          <cell r="D171">
            <v>11266</v>
          </cell>
        </row>
        <row r="172">
          <cell r="A172">
            <v>3</v>
          </cell>
          <cell r="B172" t="str">
            <v>BASIC + SURCHARGE</v>
          </cell>
          <cell r="C172">
            <v>210915</v>
          </cell>
          <cell r="D172">
            <v>218058</v>
          </cell>
        </row>
        <row r="174">
          <cell r="A174">
            <v>4</v>
          </cell>
          <cell r="B174" t="str">
            <v>FAC RECOVERABLE [E2+F2-I3]</v>
          </cell>
        </row>
        <row r="175">
          <cell r="B175" t="str">
            <v xml:space="preserve">      FROM TPC's CONSUMERS</v>
          </cell>
          <cell r="C175">
            <v>83289</v>
          </cell>
          <cell r="D175">
            <v>89805</v>
          </cell>
        </row>
        <row r="176">
          <cell r="B176" t="str">
            <v xml:space="preserve">      FROM MSEB FOR ENERGY ASSISTANCE</v>
          </cell>
          <cell r="C176">
            <v>5881</v>
          </cell>
          <cell r="D176">
            <v>4219</v>
          </cell>
        </row>
        <row r="177">
          <cell r="B177" t="str">
            <v xml:space="preserve">      FROM INTER STATE UTILITIES</v>
          </cell>
          <cell r="C177">
            <v>0</v>
          </cell>
          <cell r="D177">
            <v>2482</v>
          </cell>
        </row>
        <row r="178">
          <cell r="B178" t="str">
            <v xml:space="preserve">      TOTAL</v>
          </cell>
          <cell r="C178">
            <v>89170</v>
          </cell>
          <cell r="D178">
            <v>96506</v>
          </cell>
        </row>
        <row r="180">
          <cell r="B180" t="str">
            <v>FAC RATE (PAISE/KWH)</v>
          </cell>
          <cell r="C180">
            <v>118.66</v>
          </cell>
          <cell r="D180">
            <v>124.51299826689775</v>
          </cell>
        </row>
        <row r="181">
          <cell r="C181" t="str">
            <v>-----</v>
          </cell>
          <cell r="D181" t="str">
            <v>-----</v>
          </cell>
        </row>
        <row r="182">
          <cell r="A182">
            <v>5</v>
          </cell>
          <cell r="B182" t="str">
            <v>BASIC + SURCHARGE + FAC</v>
          </cell>
          <cell r="C182">
            <v>300085</v>
          </cell>
          <cell r="D182">
            <v>314564</v>
          </cell>
        </row>
        <row r="184">
          <cell r="A184">
            <v>6</v>
          </cell>
          <cell r="B184" t="str">
            <v>220 KV BSES INTERCONNECTION STANDBY</v>
          </cell>
        </row>
        <row r="185">
          <cell r="B185" t="str">
            <v xml:space="preserve">MD CHARGES </v>
          </cell>
          <cell r="C185">
            <v>19800</v>
          </cell>
          <cell r="D185">
            <v>19800</v>
          </cell>
        </row>
        <row r="187">
          <cell r="A187">
            <v>8</v>
          </cell>
          <cell r="B187" t="str">
            <v>TOTAL REVENUE (SUBJECT TO CASH DISCOUNT)</v>
          </cell>
          <cell r="C187">
            <v>319885</v>
          </cell>
          <cell r="D187">
            <v>334364</v>
          </cell>
        </row>
        <row r="189">
          <cell r="A189">
            <v>9</v>
          </cell>
          <cell r="B189" t="str">
            <v>LESS : CASH DISCOUNT</v>
          </cell>
          <cell r="C189">
            <v>0</v>
          </cell>
          <cell r="D189">
            <v>0</v>
          </cell>
        </row>
        <row r="190">
          <cell r="C190" t="str">
            <v>------</v>
          </cell>
          <cell r="D190" t="str">
            <v>------</v>
          </cell>
        </row>
        <row r="191">
          <cell r="A191">
            <v>10</v>
          </cell>
          <cell r="B191" t="str">
            <v>NET REVENUE</v>
          </cell>
          <cell r="C191">
            <v>319885</v>
          </cell>
          <cell r="D191">
            <v>314564</v>
          </cell>
        </row>
        <row r="193">
          <cell r="A193" t="str">
            <v>E.</v>
          </cell>
          <cell r="B193" t="str">
            <v>COST OF POWER PURCHASES (Rs.LAKHS)</v>
          </cell>
        </row>
        <row r="195">
          <cell r="A195">
            <v>1</v>
          </cell>
          <cell r="B195" t="str">
            <v>ENERGY CHARGES</v>
          </cell>
          <cell r="C195">
            <v>0</v>
          </cell>
          <cell r="D195">
            <v>0</v>
          </cell>
        </row>
        <row r="196">
          <cell r="A196">
            <v>2</v>
          </cell>
          <cell r="B196" t="str">
            <v>MD CHARGES</v>
          </cell>
          <cell r="C196">
            <v>39600</v>
          </cell>
          <cell r="D196">
            <v>39600</v>
          </cell>
        </row>
        <row r="197">
          <cell r="A197">
            <v>3</v>
          </cell>
          <cell r="B197" t="str">
            <v>TOTAL BASIC CHARGES</v>
          </cell>
          <cell r="C197">
            <v>39600</v>
          </cell>
          <cell r="D197">
            <v>39600</v>
          </cell>
        </row>
        <row r="198">
          <cell r="A198">
            <v>4</v>
          </cell>
          <cell r="B198" t="str">
            <v xml:space="preserve">FUEL ADJUSTMENT CHARGES </v>
          </cell>
          <cell r="C198">
            <v>0</v>
          </cell>
          <cell r="D198">
            <v>0</v>
          </cell>
        </row>
        <row r="199">
          <cell r="C199" t="str">
            <v>-----</v>
          </cell>
          <cell r="D199" t="str">
            <v>-----</v>
          </cell>
        </row>
        <row r="200">
          <cell r="A200">
            <v>5</v>
          </cell>
          <cell r="B200" t="str">
            <v>TOTAL</v>
          </cell>
          <cell r="C200">
            <v>39600</v>
          </cell>
          <cell r="D200">
            <v>39600</v>
          </cell>
        </row>
        <row r="201">
          <cell r="C201" t="str">
            <v>=====</v>
          </cell>
          <cell r="D201" t="str">
            <v>=====</v>
          </cell>
        </row>
        <row r="203">
          <cell r="A203" t="str">
            <v>F.</v>
          </cell>
          <cell r="B203" t="str">
            <v>COST OF FUEL (Rs.LAKHS)</v>
          </cell>
        </row>
        <row r="205">
          <cell r="A205">
            <v>1</v>
          </cell>
          <cell r="B205" t="str">
            <v>BASIC FUEL COST @ Rs.325 /MKCL</v>
          </cell>
          <cell r="C205">
            <v>65132</v>
          </cell>
          <cell r="D205">
            <v>68165</v>
          </cell>
        </row>
        <row r="206">
          <cell r="A206">
            <v>2</v>
          </cell>
          <cell r="B206" t="str">
            <v>FUEL ADJUSTMENT CHARGES</v>
          </cell>
          <cell r="C206">
            <v>89170</v>
          </cell>
          <cell r="D206">
            <v>96506</v>
          </cell>
        </row>
        <row r="207">
          <cell r="C207" t="str">
            <v>-----</v>
          </cell>
          <cell r="D207" t="str">
            <v>-----</v>
          </cell>
        </row>
        <row r="208">
          <cell r="A208">
            <v>3</v>
          </cell>
          <cell r="B208" t="str">
            <v>TOTAL FUEL COST</v>
          </cell>
          <cell r="C208">
            <v>154302</v>
          </cell>
          <cell r="D208">
            <v>164671</v>
          </cell>
        </row>
        <row r="209">
          <cell r="C209" t="str">
            <v>=====</v>
          </cell>
          <cell r="D209" t="str">
            <v>=====</v>
          </cell>
        </row>
        <row r="211">
          <cell r="A211" t="str">
            <v>G.</v>
          </cell>
          <cell r="B211" t="str">
            <v>TAX ON SALE OF ELECTRICITY (Rs.LAKHS)</v>
          </cell>
          <cell r="C211">
            <v>11760</v>
          </cell>
          <cell r="D211">
            <v>12061.5</v>
          </cell>
        </row>
        <row r="213">
          <cell r="A213" t="str">
            <v>H.</v>
          </cell>
          <cell r="B213" t="str">
            <v>WHEELING CHARGES RECOVERABLE FROM MSEB FOR WHEELING MSEB's POWER AT 22 KV</v>
          </cell>
          <cell r="C213">
            <v>805</v>
          </cell>
          <cell r="D213">
            <v>805</v>
          </cell>
        </row>
        <row r="215">
          <cell r="A215" t="str">
            <v>I.</v>
          </cell>
          <cell r="B215" t="str">
            <v>WHEELING CHARGES PAYABLE TO MSEB FOR WHEELING TPC's POWER AT 220 KV</v>
          </cell>
          <cell r="C215">
            <v>805</v>
          </cell>
          <cell r="D215">
            <v>805</v>
          </cell>
        </row>
        <row r="217">
          <cell r="A217" t="str">
            <v>L.</v>
          </cell>
          <cell r="B217" t="str">
            <v>THERMAL GENERATION (MUs)</v>
          </cell>
        </row>
        <row r="219">
          <cell r="B219" t="str">
            <v>UNIT NO.4</v>
          </cell>
          <cell r="D219">
            <v>873</v>
          </cell>
        </row>
        <row r="220">
          <cell r="B220" t="str">
            <v>UNIT NO.5</v>
          </cell>
          <cell r="D220">
            <v>3941</v>
          </cell>
        </row>
        <row r="221">
          <cell r="B221" t="str">
            <v>UNIT NO.6</v>
          </cell>
          <cell r="D221">
            <v>2872</v>
          </cell>
        </row>
        <row r="222">
          <cell r="B222" t="str">
            <v>UNIT NOS.7 AS GT</v>
          </cell>
          <cell r="D222">
            <v>0</v>
          </cell>
        </row>
        <row r="223">
          <cell r="B223" t="str">
            <v xml:space="preserve">UNIT NO.7 </v>
          </cell>
          <cell r="D223">
            <v>1146</v>
          </cell>
        </row>
        <row r="224">
          <cell r="D224" t="str">
            <v>-----</v>
          </cell>
        </row>
        <row r="225">
          <cell r="B225" t="str">
            <v>TOTAL THERMAL GENERATION</v>
          </cell>
          <cell r="D225">
            <v>8832</v>
          </cell>
        </row>
        <row r="226">
          <cell r="D226" t="str">
            <v>=====</v>
          </cell>
        </row>
        <row r="228">
          <cell r="A228" t="str">
            <v>M.</v>
          </cell>
          <cell r="B228" t="str">
            <v xml:space="preserve">FUEL CONSUMPTION </v>
          </cell>
        </row>
        <row r="230">
          <cell r="B230" t="str">
            <v xml:space="preserve"> 1) COAL (MTs/ANNUM)</v>
          </cell>
          <cell r="D230">
            <v>961100</v>
          </cell>
        </row>
        <row r="231">
          <cell r="B231" t="str">
            <v xml:space="preserve">        (MTs/DAY)</v>
          </cell>
          <cell r="D231">
            <v>2633</v>
          </cell>
        </row>
        <row r="233">
          <cell r="B233" t="str">
            <v xml:space="preserve"> 2) GAS  (MTs/ANNUM)</v>
          </cell>
          <cell r="D233">
            <v>191625</v>
          </cell>
        </row>
        <row r="234">
          <cell r="B234" t="str">
            <v xml:space="preserve">         (MTs/DAY)</v>
          </cell>
          <cell r="D234">
            <v>525</v>
          </cell>
        </row>
        <row r="236">
          <cell r="B236" t="str">
            <v xml:space="preserve"> 3) LSHS (MTs/ANNUM)</v>
          </cell>
          <cell r="D236">
            <v>1290887</v>
          </cell>
        </row>
        <row r="237">
          <cell r="B237" t="str">
            <v xml:space="preserve">         (MTs/DAY)</v>
          </cell>
          <cell r="D237">
            <v>3537</v>
          </cell>
        </row>
        <row r="239">
          <cell r="A239" t="str">
            <v>N.</v>
          </cell>
          <cell r="B239" t="str">
            <v>CORRESPONDING MKCAL</v>
          </cell>
        </row>
        <row r="241">
          <cell r="B241" t="str">
            <v xml:space="preserve"> 1) COAL</v>
          </cell>
          <cell r="D241">
            <v>4928350</v>
          </cell>
        </row>
        <row r="242">
          <cell r="B242" t="str">
            <v xml:space="preserve"> 2) GAS</v>
          </cell>
          <cell r="D242">
            <v>2491125</v>
          </cell>
        </row>
        <row r="243">
          <cell r="B243" t="str">
            <v xml:space="preserve"> 3) LSHS</v>
          </cell>
          <cell r="D243">
            <v>13554315</v>
          </cell>
        </row>
        <row r="244">
          <cell r="D244" t="str">
            <v>--------</v>
          </cell>
        </row>
        <row r="245">
          <cell r="B245" t="str">
            <v xml:space="preserve">    TOTAL</v>
          </cell>
          <cell r="D245">
            <v>20973790</v>
          </cell>
        </row>
        <row r="246">
          <cell r="D246" t="str">
            <v>========</v>
          </cell>
        </row>
        <row r="248">
          <cell r="A248" t="str">
            <v>O.</v>
          </cell>
          <cell r="B248" t="str">
            <v xml:space="preserve">COST OF FUEL (Rs.LAKHS) </v>
          </cell>
        </row>
        <row r="250">
          <cell r="B250" t="str">
            <v xml:space="preserve"> 1) COAL</v>
          </cell>
          <cell r="D250">
            <v>27632</v>
          </cell>
        </row>
        <row r="251">
          <cell r="B251" t="str">
            <v xml:space="preserve"> 2) GAS</v>
          </cell>
          <cell r="D251">
            <v>8048</v>
          </cell>
        </row>
        <row r="252">
          <cell r="B252" t="str">
            <v xml:space="preserve"> 3) LSHS</v>
          </cell>
          <cell r="D252">
            <v>125991</v>
          </cell>
        </row>
        <row r="253">
          <cell r="B253" t="str">
            <v xml:space="preserve"> 4) MINOR FUEL</v>
          </cell>
          <cell r="D253">
            <v>2592</v>
          </cell>
        </row>
        <row r="254">
          <cell r="B254" t="str">
            <v xml:space="preserve"> 5) HANDLING CHARGES</v>
          </cell>
          <cell r="D254">
            <v>408</v>
          </cell>
        </row>
        <row r="255">
          <cell r="D255" t="str">
            <v>-----</v>
          </cell>
        </row>
        <row r="256">
          <cell r="B256" t="str">
            <v xml:space="preserve">    TOTAL</v>
          </cell>
          <cell r="D256">
            <v>164671</v>
          </cell>
        </row>
        <row r="257">
          <cell r="D257" t="str">
            <v>=====</v>
          </cell>
        </row>
        <row r="259">
          <cell r="A259" t="str">
            <v>P.</v>
          </cell>
          <cell r="B259" t="str">
            <v>MKCAL REQUIREMENT</v>
          </cell>
        </row>
        <row r="261">
          <cell r="B261" t="str">
            <v xml:space="preserve"> 1) UNIT 4</v>
          </cell>
          <cell r="D261">
            <v>2269800</v>
          </cell>
        </row>
        <row r="262">
          <cell r="B262" t="str">
            <v xml:space="preserve"> 2) UNIT 5</v>
          </cell>
          <cell r="D262">
            <v>9576630</v>
          </cell>
        </row>
        <row r="263">
          <cell r="B263" t="str">
            <v xml:space="preserve"> 3) UNIT 6</v>
          </cell>
          <cell r="D263">
            <v>6835360</v>
          </cell>
        </row>
        <row r="264">
          <cell r="B264" t="str">
            <v xml:space="preserve"> 4) UNITS NO.7 AS GT</v>
          </cell>
          <cell r="D264">
            <v>0</v>
          </cell>
        </row>
        <row r="265">
          <cell r="B265" t="str">
            <v xml:space="preserve"> 5) UNIT NO.7</v>
          </cell>
          <cell r="D265">
            <v>2292000</v>
          </cell>
        </row>
        <row r="266">
          <cell r="D266" t="str">
            <v>-------</v>
          </cell>
        </row>
        <row r="267">
          <cell r="B267" t="str">
            <v xml:space="preserve">    TOTAL</v>
          </cell>
          <cell r="D267">
            <v>20973790</v>
          </cell>
        </row>
        <row r="268">
          <cell r="D268" t="str">
            <v>=======</v>
          </cell>
        </row>
        <row r="270">
          <cell r="A270" t="str">
            <v>ASSUMPTIONS :</v>
          </cell>
        </row>
        <row r="271">
          <cell r="B271" t="str">
            <v>PURCHASE MVA /MONTH</v>
          </cell>
          <cell r="D271">
            <v>550</v>
          </cell>
        </row>
        <row r="273">
          <cell r="B273" t="str">
            <v>MONTHLY FIXED WLG.CHRGS.RECOVERABLE(Rs.LACS)</v>
          </cell>
          <cell r="D273">
            <v>67.11</v>
          </cell>
        </row>
        <row r="274">
          <cell r="B274" t="str">
            <v>MONTHLY FIXED WLG.CHARGES PAYABLE(Rs.LACS)</v>
          </cell>
          <cell r="D274">
            <v>67.11</v>
          </cell>
        </row>
        <row r="276">
          <cell r="B276" t="str">
            <v>% OF (U#5 + U#6+U#7) POWER WHEELED</v>
          </cell>
          <cell r="D276">
            <v>26</v>
          </cell>
        </row>
        <row r="278">
          <cell r="B278" t="str">
            <v>ENERGY LOSS IN WHEELING MSEB'S POWER (%)</v>
          </cell>
          <cell r="D278">
            <v>3.09</v>
          </cell>
        </row>
        <row r="279">
          <cell r="B279" t="str">
            <v>ENERGY LOSS IN WHEELING TPC'S POWER (%)</v>
          </cell>
          <cell r="D279">
            <v>2</v>
          </cell>
        </row>
        <row r="281">
          <cell r="B281" t="str">
            <v>PURCHASE ENERGY RATE (P/U)</v>
          </cell>
          <cell r="D281">
            <v>290</v>
          </cell>
        </row>
        <row r="282">
          <cell r="B282" t="str">
            <v>PURCHASE FAC RATE (P/U)</v>
          </cell>
          <cell r="D282">
            <v>0</v>
          </cell>
        </row>
        <row r="283">
          <cell r="B283" t="str">
            <v>ENERGY RATE FOR SALE TO MSEB (P/U)</v>
          </cell>
          <cell r="D283">
            <v>125.9</v>
          </cell>
        </row>
        <row r="284">
          <cell r="B284" t="str">
            <v>ENERGY RATE FOR SALE TO INTER STATE  UTILITIES (P/U)</v>
          </cell>
          <cell r="D284">
            <v>125.9</v>
          </cell>
        </row>
        <row r="285">
          <cell r="B285" t="str">
            <v>FAC RATE FOR SALE TO INTER STATE  UTILITIES (P/U)</v>
          </cell>
          <cell r="D285">
            <v>124.1</v>
          </cell>
        </row>
        <row r="286">
          <cell r="B286" t="str">
            <v>FAC RATE FOR SALE TO MSEB (P/U)</v>
          </cell>
          <cell r="D286">
            <v>124.1</v>
          </cell>
        </row>
        <row r="287">
          <cell r="B287" t="str">
            <v>PURCHASE MD RATE (Rs./KVA/MONTH)</v>
          </cell>
          <cell r="D287">
            <v>600</v>
          </cell>
        </row>
        <row r="289">
          <cell r="B289" t="str">
            <v>FUEL COST (Rs./MT) :</v>
          </cell>
        </row>
        <row r="290">
          <cell r="B290" t="str">
            <v>COAL</v>
          </cell>
          <cell r="D290">
            <v>2875</v>
          </cell>
        </row>
        <row r="291">
          <cell r="B291" t="str">
            <v>GAS</v>
          </cell>
          <cell r="D291">
            <v>4200</v>
          </cell>
        </row>
        <row r="292">
          <cell r="B292" t="str">
            <v>LSHS/ LSWR</v>
          </cell>
          <cell r="D292">
            <v>9760</v>
          </cell>
        </row>
        <row r="293">
          <cell r="B293" t="str">
            <v>-</v>
          </cell>
          <cell r="C293" t="str">
            <v>-</v>
          </cell>
          <cell r="D293" t="str">
            <v>-</v>
          </cell>
        </row>
        <row r="295">
          <cell r="B295" t="str">
            <v>Tariff :</v>
          </cell>
        </row>
        <row r="296">
          <cell r="C296" t="str">
            <v>MD</v>
          </cell>
          <cell r="D296" t="str">
            <v>RKVAH</v>
          </cell>
        </row>
        <row r="297">
          <cell r="C297" t="str">
            <v>(Rs./KVA)</v>
          </cell>
          <cell r="D297" t="str">
            <v>(P./RKVAH)</v>
          </cell>
        </row>
        <row r="298">
          <cell r="B298" t="str">
            <v>TEXTILES</v>
          </cell>
          <cell r="C298">
            <v>170</v>
          </cell>
          <cell r="D298">
            <v>0</v>
          </cell>
        </row>
        <row r="299">
          <cell r="B299" t="str">
            <v>HT INDUSTRIES</v>
          </cell>
          <cell r="C299">
            <v>170</v>
          </cell>
          <cell r="D299">
            <v>0</v>
          </cell>
        </row>
        <row r="300">
          <cell r="B300" t="str">
            <v>HT COMMERCIAL</v>
          </cell>
          <cell r="C300">
            <v>170</v>
          </cell>
          <cell r="D300">
            <v>0</v>
          </cell>
        </row>
        <row r="301">
          <cell r="B301" t="str">
            <v>LT INDUSTRIES (TWO PART TARIFF)</v>
          </cell>
          <cell r="C301">
            <v>175</v>
          </cell>
          <cell r="D301">
            <v>0</v>
          </cell>
        </row>
        <row r="302">
          <cell r="B302" t="str">
            <v>LT COMMERCIAL (TWO PART TARIFF)</v>
          </cell>
          <cell r="C302">
            <v>175</v>
          </cell>
          <cell r="D302">
            <v>0</v>
          </cell>
        </row>
        <row r="303">
          <cell r="B303" t="str">
            <v>RAILWAYS</v>
          </cell>
          <cell r="C303">
            <v>170</v>
          </cell>
          <cell r="D303">
            <v>0</v>
          </cell>
        </row>
        <row r="304">
          <cell r="B304" t="str">
            <v>BEST</v>
          </cell>
          <cell r="C304">
            <v>170</v>
          </cell>
          <cell r="D304">
            <v>0</v>
          </cell>
        </row>
        <row r="305">
          <cell r="B305" t="str">
            <v>BSES (22/33 KV)</v>
          </cell>
          <cell r="C305">
            <v>200</v>
          </cell>
          <cell r="D305">
            <v>0</v>
          </cell>
        </row>
        <row r="306">
          <cell r="B306" t="str">
            <v>BSES (220 KV)</v>
          </cell>
          <cell r="D306">
            <v>0</v>
          </cell>
        </row>
        <row r="307">
          <cell r="B307" t="str">
            <v>MSEB 22 KV</v>
          </cell>
          <cell r="D307">
            <v>0</v>
          </cell>
        </row>
        <row r="308">
          <cell r="B308" t="str">
            <v>ENERGY RATE (P/KWH) :</v>
          </cell>
        </row>
        <row r="309">
          <cell r="B309" t="str">
            <v>TEXTILES</v>
          </cell>
          <cell r="C309">
            <v>197</v>
          </cell>
        </row>
        <row r="310">
          <cell r="B310" t="str">
            <v>HT INDUSTRIES</v>
          </cell>
          <cell r="C310">
            <v>197</v>
          </cell>
        </row>
        <row r="311">
          <cell r="B311" t="str">
            <v>HT COMMERCIAL</v>
          </cell>
          <cell r="C311">
            <v>197</v>
          </cell>
        </row>
        <row r="312">
          <cell r="B312" t="str">
            <v>LT INDUSTRIES (SINGLE PART TARIFF)</v>
          </cell>
          <cell r="C312">
            <v>272</v>
          </cell>
        </row>
        <row r="313">
          <cell r="B313" t="str">
            <v>LT INDUSTRIES (TWO PART TARIFF)</v>
          </cell>
          <cell r="C313">
            <v>202</v>
          </cell>
        </row>
        <row r="314">
          <cell r="B314" t="str">
            <v>LT COMMERCIAL (SINGLE PART TARIFF)</v>
          </cell>
          <cell r="C314">
            <v>272</v>
          </cell>
        </row>
        <row r="315">
          <cell r="B315" t="str">
            <v>LT COMMERCIAL (TWO PART TARIFF)</v>
          </cell>
          <cell r="C315">
            <v>202</v>
          </cell>
        </row>
        <row r="316">
          <cell r="B316" t="str">
            <v>RESIDENTIAL</v>
          </cell>
          <cell r="C316">
            <v>212.75</v>
          </cell>
        </row>
        <row r="317">
          <cell r="B317" t="str">
            <v>RAILWAYS</v>
          </cell>
          <cell r="C317">
            <v>197</v>
          </cell>
        </row>
        <row r="318">
          <cell r="B318" t="str">
            <v>BEST</v>
          </cell>
          <cell r="C318">
            <v>177</v>
          </cell>
        </row>
        <row r="319">
          <cell r="B319" t="str">
            <v>BSES</v>
          </cell>
          <cell r="C319">
            <v>177</v>
          </cell>
        </row>
        <row r="320">
          <cell r="B320" t="str">
            <v>BSES 220 KV</v>
          </cell>
          <cell r="C320">
            <v>209</v>
          </cell>
        </row>
        <row r="321">
          <cell r="B321" t="str">
            <v>BASIC COST OF FUEL (Rs./MKCL)</v>
          </cell>
          <cell r="C321">
            <v>325</v>
          </cell>
        </row>
        <row r="322">
          <cell r="B322" t="str">
            <v>-</v>
          </cell>
        </row>
        <row r="323">
          <cell r="B323" t="str">
            <v>CALORIFIC VALUES (MKCL/MT) :</v>
          </cell>
        </row>
        <row r="324">
          <cell r="B324" t="str">
            <v>COAL</v>
          </cell>
          <cell r="C324">
            <v>5.1278223000000001</v>
          </cell>
        </row>
        <row r="325">
          <cell r="B325" t="str">
            <v>GAS</v>
          </cell>
          <cell r="C325">
            <v>13</v>
          </cell>
        </row>
        <row r="326">
          <cell r="B326" t="str">
            <v>LSHS/ LSWR</v>
          </cell>
          <cell r="C326">
            <v>10.5</v>
          </cell>
        </row>
        <row r="328">
          <cell r="B328" t="str">
            <v>HEAT RATES &amp; AUXILIARY CONSUMPTION</v>
          </cell>
          <cell r="C328" t="str">
            <v>HEAT RATE</v>
          </cell>
          <cell r="D328" t="str">
            <v>AUX.CONS.</v>
          </cell>
        </row>
        <row r="329">
          <cell r="C329" t="str">
            <v>MKCL/MU</v>
          </cell>
          <cell r="D329" t="str">
            <v>(%)</v>
          </cell>
        </row>
        <row r="330">
          <cell r="B330" t="str">
            <v>------------------------------------</v>
          </cell>
          <cell r="C330" t="str">
            <v>-</v>
          </cell>
          <cell r="D330" t="str">
            <v>-</v>
          </cell>
        </row>
        <row r="332">
          <cell r="B332" t="str">
            <v>UNIT NO.4</v>
          </cell>
          <cell r="C332">
            <v>2600</v>
          </cell>
          <cell r="D332">
            <v>10</v>
          </cell>
        </row>
        <row r="333">
          <cell r="B333" t="str">
            <v>UNIT NO.5</v>
          </cell>
          <cell r="C333">
            <v>2430</v>
          </cell>
          <cell r="D333">
            <v>5</v>
          </cell>
        </row>
        <row r="334">
          <cell r="B334" t="str">
            <v>UNIT NO.6</v>
          </cell>
          <cell r="C334">
            <v>2380</v>
          </cell>
          <cell r="D334">
            <v>4</v>
          </cell>
        </row>
        <row r="335">
          <cell r="B335" t="str">
            <v>UNIT NO.7 AS GT</v>
          </cell>
          <cell r="C335">
            <v>2850</v>
          </cell>
          <cell r="D335">
            <v>2.1</v>
          </cell>
        </row>
        <row r="336">
          <cell r="B336" t="str">
            <v>UNIT NO.7</v>
          </cell>
          <cell r="C336">
            <v>2000</v>
          </cell>
          <cell r="D336">
            <v>2</v>
          </cell>
        </row>
        <row r="337">
          <cell r="B337" t="str">
            <v>HYDRO</v>
          </cell>
          <cell r="D337">
            <v>0.5</v>
          </cell>
        </row>
        <row r="339">
          <cell r="B339" t="str">
            <v>TAXABLE SALES</v>
          </cell>
          <cell r="C339">
            <v>91</v>
          </cell>
          <cell r="D339" t="str">
            <v>%</v>
          </cell>
        </row>
        <row r="340">
          <cell r="B340" t="str">
            <v xml:space="preserve">TAX ON  SALE RATE </v>
          </cell>
          <cell r="C340">
            <v>15</v>
          </cell>
          <cell r="D340" t="str">
            <v>(P/KWH)</v>
          </cell>
        </row>
        <row r="342">
          <cell r="B342" t="str">
            <v>T T &amp; D LOSSES</v>
          </cell>
          <cell r="C342">
            <v>2.2999999999999998</v>
          </cell>
          <cell r="D342" t="str">
            <v>%</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소요시간"/>
      <sheetName val="ITEM-LIST"/>
    </sheetNames>
    <sheetDataSet>
      <sheetData sheetId="0" refreshError="1"/>
      <sheetData sheetId="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ainloss computation FY 09-10"/>
      <sheetName val="Summary"/>
      <sheetName val="Issue sheet"/>
      <sheetName val="Tables_True up FY 09-10"/>
      <sheetName val="Assumption_PwC"/>
      <sheetName val="O&amp;M costs"/>
      <sheetName val="Sheet1"/>
      <sheetName val="F1(Bhu)"/>
      <sheetName val="F1(Cha)"/>
      <sheetName val="F1(Paras)"/>
      <sheetName val="F1(Kor)"/>
      <sheetName val="F1(Parli)"/>
      <sheetName val="F1(Kha)"/>
      <sheetName val="F1(Nasi)"/>
      <sheetName val="F1(Uran)"/>
      <sheetName val="F1(Hydro)"/>
      <sheetName val="F2.1(Bhu)"/>
      <sheetName val="F2.1(Cha)"/>
      <sheetName val="F2.1(Kor)"/>
      <sheetName val="F2.1(Parli)"/>
      <sheetName val="F2.1(Paras)"/>
      <sheetName val="F2.1(Nasi)"/>
      <sheetName val="F2.1(Uran)"/>
      <sheetName val="F2.1(Kha)"/>
      <sheetName val="Capex Bhu"/>
      <sheetName val="Capex Cha"/>
      <sheetName val="Capex Kor"/>
      <sheetName val="Capex Paras"/>
      <sheetName val="Capex Kha"/>
      <sheetName val="Capex parli"/>
      <sheetName val="Capex Nasi"/>
      <sheetName val="Capex Uran"/>
      <sheetName val="Capex Hydro"/>
      <sheetName val="F2.2(Bhu)"/>
      <sheetName val="F2.3(Bhu)"/>
      <sheetName val="F2.6(Bhu)"/>
      <sheetName val="F3(Bhu)"/>
      <sheetName val="F3.1(Bhu)"/>
      <sheetName val="F3.2(Bhu)"/>
      <sheetName val="F3.3(Bhu)"/>
      <sheetName val="F4(Bhu)"/>
      <sheetName val="F5(Bhu)"/>
      <sheetName val="F5.1(Bhu)"/>
      <sheetName val="F5.2(Bhu)"/>
      <sheetName val="F5.3(Bhu)"/>
      <sheetName val="F5.4(Bhu)"/>
      <sheetName val="F6(Bhu)"/>
      <sheetName val="F11(Bhu)"/>
      <sheetName val="F12(Bhu)"/>
      <sheetName val="F2.2(Cha)"/>
      <sheetName val="F2.3(Cha)"/>
      <sheetName val="F2.6(Cha)"/>
      <sheetName val="F3(Cha)"/>
      <sheetName val="F3.1(Cha)"/>
      <sheetName val="F3.2(Cha)"/>
      <sheetName val="F3.3(Cha)"/>
      <sheetName val="F4(Cha)"/>
      <sheetName val="F5.1(Cha)"/>
      <sheetName val="F5(Cha)"/>
      <sheetName val="F5.2(Cha)"/>
      <sheetName val="F5.3(Cha)"/>
      <sheetName val="F5.4(Cha)"/>
      <sheetName val="F6(Cha)"/>
      <sheetName val="F11(Cha)"/>
      <sheetName val="F12(Cha)"/>
      <sheetName val="O&amp;m EXP."/>
      <sheetName val="Koradi"/>
      <sheetName val="F2.2(Kor)"/>
      <sheetName val="F2.3(Kor)"/>
      <sheetName val="F2.6(Kor)"/>
      <sheetName val="F3(Kor)"/>
      <sheetName val="F3.1(Kor)"/>
      <sheetName val="F3.2(Kor)"/>
      <sheetName val="F3.3(Kor)"/>
      <sheetName val="F4(Kor)"/>
      <sheetName val="F5.4(Kor)"/>
      <sheetName val="F5(Kor)"/>
      <sheetName val="F5.1(Kor)"/>
      <sheetName val="F5.2(Kor)"/>
      <sheetName val="F5.3(Kor)"/>
      <sheetName val="F6(Kor)"/>
      <sheetName val="F11(Kor)"/>
      <sheetName val="F12(Kor)"/>
      <sheetName val="Paras"/>
      <sheetName val="F2.2(Paras)"/>
      <sheetName val="F2.3(Paras)"/>
      <sheetName val="F2.6(Paras)"/>
      <sheetName val="F3(Paras)"/>
      <sheetName val="F3.1(Paras)"/>
      <sheetName val="F3.2(Paras)"/>
      <sheetName val="F3.3(Paras)"/>
      <sheetName val="F4(Paras)"/>
      <sheetName val="F5(Paras)"/>
      <sheetName val="F5.1(Paras)"/>
      <sheetName val="F5.2(Paras)"/>
      <sheetName val="F5.3(Paras)"/>
      <sheetName val="F5.4(Paras)"/>
      <sheetName val="F6(Paras)"/>
      <sheetName val="F11(Paras)"/>
      <sheetName val="F12(Paras)"/>
      <sheetName val="Parli"/>
      <sheetName val="F2.2(Parli)"/>
      <sheetName val="F2.3(Parli)"/>
      <sheetName val="F2.6(Parli)"/>
      <sheetName val="F3(Parli)"/>
      <sheetName val="F3.1(Parli)"/>
      <sheetName val="F3.2(Parli)"/>
      <sheetName val="F3.3(Parli)"/>
      <sheetName val="F4(Parli)"/>
      <sheetName val="F5(Parli)"/>
      <sheetName val="F5.1(Parli)"/>
      <sheetName val="F5.2(Parli)"/>
      <sheetName val="F5.3(Parli)"/>
      <sheetName val="F5.4(Parli)"/>
      <sheetName val="F6(Parli)"/>
      <sheetName val="F11(Parli)"/>
      <sheetName val="F12(Parli)"/>
      <sheetName val="Khaperkheda"/>
      <sheetName val="F2.2(Kha)"/>
      <sheetName val="F2.3(Kha)"/>
      <sheetName val="F2.6(Kha)"/>
      <sheetName val="F3(Kha)"/>
      <sheetName val="F3.1(Kha)"/>
      <sheetName val="F3.2(Kha)"/>
      <sheetName val="F3.3(Kha)"/>
      <sheetName val="F4(Kha)"/>
      <sheetName val="F5(Kha)"/>
      <sheetName val="F5.1(Kha)"/>
      <sheetName val="F5.2(Kha)"/>
      <sheetName val="F5.3(Kha)"/>
      <sheetName val="F5.4(Kha)"/>
      <sheetName val="F6(Kha)"/>
      <sheetName val="F11(Kha)"/>
      <sheetName val="F12(Kha)"/>
      <sheetName val="Nasik"/>
      <sheetName val="F2.2(Nasi)"/>
      <sheetName val="F2.3(Nasi)"/>
      <sheetName val="F2.6(Nasi)"/>
      <sheetName val="F3(Nasi)"/>
      <sheetName val="F3.1(Nasi)"/>
      <sheetName val="F3.2(Nasi)"/>
      <sheetName val="F3.3(Nasi)"/>
      <sheetName val="F4(Nasi)"/>
      <sheetName val="F5(Nasi)"/>
      <sheetName val="F5.1(Nasi)"/>
      <sheetName val="F5.3(Nasi)"/>
      <sheetName val="F5.2(Nasi)"/>
      <sheetName val="F5.4(Nasi)"/>
      <sheetName val="F6(Nasi)"/>
      <sheetName val="F11(Nasi)"/>
      <sheetName val="F12(Nasi)"/>
      <sheetName val="Uran"/>
      <sheetName val="F2.2(Uran)"/>
      <sheetName val="F2.3(Uran)"/>
      <sheetName val="F2.6(Uran)"/>
      <sheetName val="F3(Uran)"/>
      <sheetName val="F3.1(Uran)"/>
      <sheetName val="F3.2(Uran)"/>
      <sheetName val="F3.3(Uran)"/>
      <sheetName val="F4(Uran)"/>
      <sheetName val="F5(Uran)"/>
      <sheetName val="F5.1(Uran)"/>
      <sheetName val="F5.2(Uran)"/>
      <sheetName val="F5.3(Uran)"/>
      <sheetName val="F5.4(Uran)"/>
      <sheetName val="F6(Uran)"/>
      <sheetName val="F11(Uran)"/>
      <sheetName val="F12(Uran)"/>
      <sheetName val="Hydro"/>
      <sheetName val="F2.1(Hydro)"/>
      <sheetName val="F2.3(Hydro)"/>
      <sheetName val="F2.4(Hydro)"/>
      <sheetName val="F2.6(Hydro)"/>
      <sheetName val="F3(Hydro)"/>
      <sheetName val="F3.1(Hydro)"/>
      <sheetName val="F3.2(Hydro)"/>
      <sheetName val="F3.3(Hydro)"/>
      <sheetName val="F4(Koyna)"/>
      <sheetName val="F4(PuneHydro)"/>
      <sheetName val="F4(NasikHydro)"/>
      <sheetName val="F5(Hydro)"/>
      <sheetName val="F5.1(Hydro)"/>
      <sheetName val="F5.2(Hydro)"/>
      <sheetName val="F4(Hydro)"/>
      <sheetName val="F5.4(PuneHydro)"/>
      <sheetName val="F5.3(PuneHydro)"/>
      <sheetName val="F5.3(NasikHydro)"/>
      <sheetName val="F5.4(NasikHydro)"/>
      <sheetName val="F5.4(Koyna)"/>
      <sheetName val="F5.3(Koyna)"/>
      <sheetName val="F6(Hydro)"/>
      <sheetName val="F11(Hydro)"/>
      <sheetName val="F12(Hydro)"/>
      <sheetName val="Revised True Up 200809"/>
      <sheetName val="Impact of FY 08-09"/>
    </sheetNames>
    <sheetDataSet>
      <sheetData sheetId="0">
        <row r="3">
          <cell r="B3">
            <v>7.8600000000000003E-2</v>
          </cell>
        </row>
        <row r="16">
          <cell r="B16">
            <v>0.13</v>
          </cell>
        </row>
      </sheetData>
      <sheetData sheetId="1" refreshError="1"/>
      <sheetData sheetId="2" refreshError="1"/>
      <sheetData sheetId="3" refreshError="1"/>
      <sheetData sheetId="4" refreshError="1"/>
      <sheetData sheetId="5">
        <row r="7">
          <cell r="D7">
            <v>0.1074</v>
          </cell>
          <cell r="E7">
            <v>0.1055</v>
          </cell>
        </row>
        <row r="8">
          <cell r="D8">
            <v>8.1799999999999998E-2</v>
          </cell>
        </row>
        <row r="116">
          <cell r="C116">
            <v>0.11749999999999999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30">
          <cell r="V30">
            <v>27.489999999999995</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Availability"/>
      <sheetName val="DP sheet"/>
      <sheetName val="Exst Norms"/>
      <sheetName val="O&amp;M exp. Norm vs Act"/>
      <sheetName val="Comparison-Exst vs Actual"/>
      <sheetName val="REVISED NORMS for MYT (average)"/>
      <sheetName val="REVISED NORMS for MYT"/>
      <sheetName val="Base Parameters"/>
      <sheetName val="Allocation ratio"/>
      <sheetName val="MSETCL"/>
      <sheetName val="TPC-T"/>
      <sheetName val="RInfra-T"/>
      <sheetName val="JPTL"/>
      <sheetName val="APML-T"/>
      <sheetName val="JPTL_OLD"/>
      <sheetName val="APML-T_OLD"/>
      <sheetName val="Effective Growth rate"/>
      <sheetName val="Summary"/>
      <sheetName val="Reg, 2011 (2)"/>
      <sheetName val="Empl, A&amp;G and R&amp;M"/>
      <sheetName val="Comparis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ny"/>
      <sheetName val="License Area"/>
      <sheetName val="LA-ARR-PU"/>
      <sheetName val="LA-PU"/>
      <sheetName val="LA-ARR"/>
      <sheetName val="LA-ARR-PU "/>
      <sheetName val="Co. Graphs"/>
      <sheetName val="OB Graphs"/>
      <sheetName val="License_Area"/>
      <sheetName val="LA-ARR-PU_"/>
      <sheetName val="Co__Graphs"/>
      <sheetName val="OB_Graph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96상2"/>
      <sheetName val="해외 기술훈련비 (합계)"/>
      <sheetName val="해외 연수비용 계산-삭제"/>
      <sheetName val="Book2"/>
      <sheetName val="카메라"/>
      <sheetName val="#REF"/>
      <sheetName val="자바라1"/>
      <sheetName val="투자종합 (2)"/>
      <sheetName val="해외_기술훈련비_(합계)"/>
      <sheetName val="해외_연수비용_계산-삭제"/>
      <sheetName val="투자종합_(2)"/>
      <sheetName val="License Area"/>
      <sheetName val="해외_기술훈련비_(합계)1"/>
      <sheetName val="해외_연수비용_계산-삭제1"/>
      <sheetName val="투자종합_(2)1"/>
      <sheetName val="Register"/>
      <sheetName val="ecc_res"/>
    </sheetNames>
    <definedNames>
      <definedName name="GUESTPNT"/>
      <definedName name="RTPNT"/>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
      <sheetName val="Sheet1"/>
      <sheetName val="1997-1998"/>
      <sheetName val="1998-1999"/>
      <sheetName val="1999-2000"/>
      <sheetName val="2000-01"/>
      <sheetName val="2001-02"/>
      <sheetName val="2002-03"/>
      <sheetName val="2003-04"/>
      <sheetName val="2004-05"/>
      <sheetName val="2005-06"/>
      <sheetName val="2006-07"/>
      <sheetName val="2007-08"/>
      <sheetName val="2008-09"/>
      <sheetName val="2009-10"/>
      <sheetName val="2010-11"/>
      <sheetName val="2011-12"/>
      <sheetName val="2012-13"/>
      <sheetName val="2013-14"/>
      <sheetName val="2014-15"/>
      <sheetName val="2014-15-U-2ESD"/>
      <sheetName val="Yly-Gen"/>
      <sheetName val="Data"/>
      <sheetName val="Since Comm,"/>
      <sheetName val="History Data"/>
      <sheetName val="Gen.Data 87-97"/>
      <sheetName val="C.F., C.V. &amp; H.R."/>
      <sheetName val="Gen., Coal Factor, Heat Rate"/>
      <sheetName val="SAP-Data"/>
      <sheetName val="Assumptions"/>
      <sheetName val="Assumption_PwC"/>
      <sheetName val="Since_Comm,"/>
      <sheetName val="History_Data"/>
      <sheetName val="Gen_Data_87-97"/>
      <sheetName val="C_F_,_C_V__&amp;_H_R_"/>
      <sheetName val="Gen_,_Coal_Factor,_Heat_R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GENERATION"/>
      <sheetName val="DR"/>
      <sheetName val="DRAWAL"/>
      <sheetName val="INTER-REGIONAL ENERGY EXHANGE"/>
      <sheetName val="GOA"/>
      <sheetName val="POP9900"/>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ARR-PU"/>
      <sheetName val="Company-Base"/>
      <sheetName val="License Area"/>
      <sheetName val="financial data"/>
      <sheetName val="Notional Int"/>
      <sheetName val="LA-PU"/>
      <sheetName val="LA-ARR FY07"/>
      <sheetName val="LA-ARR-PU FY07"/>
      <sheetName val="LA-Revenue"/>
      <sheetName val="LA-PU (AJE)"/>
      <sheetName val="ABP Input"/>
      <sheetName val="Co. Graphs"/>
      <sheetName val="OB Graphs"/>
      <sheetName val="License_Area"/>
      <sheetName val="financial_data"/>
      <sheetName val="Notional_Int"/>
      <sheetName val="LA-ARR_FY07"/>
      <sheetName val="LA-ARR-PU_FY07"/>
      <sheetName val="LA-PU_(AJE)"/>
      <sheetName val="ABP_Input"/>
      <sheetName val="Co__Graphs"/>
      <sheetName val="OB_Graph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TRACT"/>
      <sheetName val="NEW ND (13-16) JUSTIFICATION"/>
      <sheetName val="TRANS"/>
      <sheetName val="SO(10-13)_SO"/>
      <sheetName val="PE_(10-13)_SO"/>
      <sheetName val="N.Develop(10-13)_SO"/>
      <sheetName val="Capex"/>
      <sheetName val="Addl BP(10-13)"/>
      <sheetName val="ND PLAN (13-16)"/>
      <sheetName val="Assumptions"/>
      <sheetName val="ARR"/>
      <sheetName val="Int on loan"/>
      <sheetName val="ROE"/>
      <sheetName val="O&amp;M expenses"/>
      <sheetName val="Depreciation"/>
      <sheetName val="Financial Statements"/>
      <sheetName val="Doub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C3" t="b">
            <v>1</v>
          </cell>
        </row>
      </sheetData>
      <sheetData sheetId="10" refreshError="1"/>
      <sheetData sheetId="11"/>
      <sheetData sheetId="12" refreshError="1"/>
      <sheetData sheetId="13" refreshError="1"/>
      <sheetData sheetId="14" refreshError="1"/>
      <sheetData sheetId="15" refreshError="1"/>
      <sheetData sheetId="16"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공통데이터"/>
      <sheetName val="제작데이터"/>
      <sheetName val="자재리스트"/>
      <sheetName val="집계표"/>
      <sheetName val="생산목표"/>
      <sheetName val="세부내역"/>
      <sheetName val="타부서집계표"/>
      <sheetName val="구매분_Modify"/>
      <sheetName val="제작분_Modify"/>
      <sheetName val="Sheet3"/>
      <sheetName val="세부내역서"/>
    </sheetNames>
    <sheetDataSet>
      <sheetData sheetId="0" refreshError="1"/>
      <sheetData sheetId="1" refreshError="1"/>
      <sheetData sheetId="2" refreshError="1"/>
      <sheetData sheetId="3" refreshError="1">
        <row r="9">
          <cell r="D9">
            <v>0</v>
          </cell>
          <cell r="E9">
            <v>209</v>
          </cell>
          <cell r="F9">
            <v>29091</v>
          </cell>
          <cell r="G9">
            <v>3361</v>
          </cell>
          <cell r="H9">
            <v>0</v>
          </cell>
          <cell r="I9">
            <v>135</v>
          </cell>
          <cell r="J9">
            <v>3453</v>
          </cell>
          <cell r="L9">
            <v>6523</v>
          </cell>
          <cell r="M9">
            <v>5275</v>
          </cell>
          <cell r="N9">
            <v>58</v>
          </cell>
          <cell r="O9">
            <v>10939</v>
          </cell>
        </row>
        <row r="46">
          <cell r="D46">
            <v>0</v>
          </cell>
          <cell r="E46">
            <v>14</v>
          </cell>
          <cell r="F46">
            <v>1947</v>
          </cell>
          <cell r="G46">
            <v>225</v>
          </cell>
          <cell r="H46">
            <v>0</v>
          </cell>
          <cell r="I46">
            <v>9</v>
          </cell>
          <cell r="J46">
            <v>231</v>
          </cell>
          <cell r="L46">
            <v>436</v>
          </cell>
          <cell r="M46">
            <v>353</v>
          </cell>
          <cell r="N46">
            <v>3</v>
          </cell>
          <cell r="O46">
            <v>732</v>
          </cell>
        </row>
        <row r="47">
          <cell r="D47">
            <v>135603</v>
          </cell>
        </row>
        <row r="55">
          <cell r="D55">
            <v>0</v>
          </cell>
          <cell r="E55">
            <v>2</v>
          </cell>
          <cell r="F55">
            <v>0</v>
          </cell>
          <cell r="G55">
            <v>815</v>
          </cell>
          <cell r="H55">
            <v>0</v>
          </cell>
          <cell r="I55">
            <v>5</v>
          </cell>
          <cell r="J55">
            <v>197</v>
          </cell>
          <cell r="L55">
            <v>1583</v>
          </cell>
          <cell r="M55">
            <v>236</v>
          </cell>
          <cell r="N55">
            <v>2</v>
          </cell>
          <cell r="O55">
            <v>625</v>
          </cell>
        </row>
        <row r="60">
          <cell r="D60">
            <v>0</v>
          </cell>
          <cell r="E60">
            <v>2</v>
          </cell>
          <cell r="F60">
            <v>0</v>
          </cell>
          <cell r="G60">
            <v>2011</v>
          </cell>
          <cell r="H60">
            <v>149835</v>
          </cell>
          <cell r="I60">
            <v>10</v>
          </cell>
          <cell r="J60">
            <v>1188</v>
          </cell>
          <cell r="L60">
            <v>3904</v>
          </cell>
          <cell r="M60">
            <v>2929</v>
          </cell>
          <cell r="N60">
            <v>4</v>
          </cell>
          <cell r="O60">
            <v>3764</v>
          </cell>
        </row>
        <row r="83">
          <cell r="D83">
            <v>0</v>
          </cell>
          <cell r="E83">
            <v>36</v>
          </cell>
          <cell r="F83">
            <v>5026</v>
          </cell>
          <cell r="G83">
            <v>580</v>
          </cell>
          <cell r="H83">
            <v>0</v>
          </cell>
          <cell r="I83">
            <v>23</v>
          </cell>
          <cell r="J83">
            <v>596</v>
          </cell>
          <cell r="L83">
            <v>1127</v>
          </cell>
          <cell r="M83">
            <v>911</v>
          </cell>
          <cell r="N83">
            <v>10</v>
          </cell>
          <cell r="O83">
            <v>1890</v>
          </cell>
        </row>
        <row r="84">
          <cell r="D84">
            <v>91650</v>
          </cell>
        </row>
        <row r="85">
          <cell r="D85">
            <v>365</v>
          </cell>
        </row>
        <row r="89">
          <cell r="D89">
            <v>0</v>
          </cell>
          <cell r="E89">
            <v>2028</v>
          </cell>
          <cell r="F89">
            <v>92655</v>
          </cell>
          <cell r="G89">
            <v>6339</v>
          </cell>
          <cell r="H89">
            <v>0</v>
          </cell>
          <cell r="I89">
            <v>124</v>
          </cell>
          <cell r="J89">
            <v>3428</v>
          </cell>
          <cell r="L89">
            <v>12309</v>
          </cell>
          <cell r="M89">
            <v>8183</v>
          </cell>
          <cell r="N89">
            <v>50</v>
          </cell>
          <cell r="O89">
            <v>10858</v>
          </cell>
        </row>
        <row r="92">
          <cell r="D92">
            <v>0</v>
          </cell>
          <cell r="E92">
            <v>0</v>
          </cell>
          <cell r="F92">
            <v>0</v>
          </cell>
          <cell r="G92">
            <v>317</v>
          </cell>
          <cell r="H92">
            <v>1600</v>
          </cell>
          <cell r="I92">
            <v>2</v>
          </cell>
          <cell r="J92">
            <v>76</v>
          </cell>
          <cell r="L92">
            <v>616</v>
          </cell>
          <cell r="M92">
            <v>92</v>
          </cell>
          <cell r="N92">
            <v>0</v>
          </cell>
          <cell r="O92">
            <v>243</v>
          </cell>
        </row>
        <row r="93">
          <cell r="D93">
            <v>0</v>
          </cell>
          <cell r="E93">
            <v>13</v>
          </cell>
          <cell r="F93">
            <v>773</v>
          </cell>
          <cell r="G93">
            <v>33</v>
          </cell>
          <cell r="H93">
            <v>0</v>
          </cell>
          <cell r="I93">
            <v>1</v>
          </cell>
          <cell r="J93">
            <v>53</v>
          </cell>
          <cell r="L93">
            <v>64</v>
          </cell>
          <cell r="M93">
            <v>88</v>
          </cell>
          <cell r="N93">
            <v>0</v>
          </cell>
          <cell r="O93">
            <v>170</v>
          </cell>
        </row>
        <row r="97">
          <cell r="D97">
            <v>0</v>
          </cell>
          <cell r="E97">
            <v>0</v>
          </cell>
          <cell r="F97">
            <v>0</v>
          </cell>
          <cell r="G97">
            <v>609</v>
          </cell>
          <cell r="H97">
            <v>45372</v>
          </cell>
          <cell r="I97">
            <v>3</v>
          </cell>
          <cell r="J97">
            <v>359</v>
          </cell>
          <cell r="L97">
            <v>1182</v>
          </cell>
          <cell r="M97">
            <v>887</v>
          </cell>
          <cell r="N97">
            <v>1</v>
          </cell>
          <cell r="O97">
            <v>1139</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 02 Est.at Existing Tariff"/>
      <sheetName val="Financial Estimates"/>
      <sheetName val="Sheet1"/>
      <sheetName val="Sheet2"/>
      <sheetName val="Sheet3"/>
      <sheetName val="2001_02_Est_at_Existing_Tariff"/>
      <sheetName val="Financial_Estimates"/>
    </sheetNames>
    <sheetDataSet>
      <sheetData sheetId="0" refreshError="1"/>
      <sheetData sheetId="1" refreshError="1">
        <row r="271">
          <cell r="B271" t="str">
            <v>PURCHASE MVA /MONTH</v>
          </cell>
          <cell r="D271">
            <v>550</v>
          </cell>
        </row>
        <row r="273">
          <cell r="B273" t="str">
            <v>MONTHLY FIXED WLG.CHRGS.RECOVERABLE(Rs.LACS)</v>
          </cell>
          <cell r="D273">
            <v>67.11</v>
          </cell>
        </row>
        <row r="274">
          <cell r="B274" t="str">
            <v>MONTHLY FIXED WLG.CHARGES PAYABLE(Rs.LACS)</v>
          </cell>
          <cell r="D274">
            <v>67.11</v>
          </cell>
        </row>
        <row r="276">
          <cell r="B276" t="str">
            <v>% OF (U#5 + U#6+U#7) POWER WHEELED</v>
          </cell>
          <cell r="D276">
            <v>26</v>
          </cell>
        </row>
        <row r="278">
          <cell r="B278" t="str">
            <v>ENERGY LOSS IN WHEELING MSEB'S POWER (%)</v>
          </cell>
          <cell r="D278">
            <v>3.09</v>
          </cell>
        </row>
        <row r="279">
          <cell r="B279" t="str">
            <v>ENERGY LOSS IN WHEELING TPC'S POWER (%)</v>
          </cell>
          <cell r="D279">
            <v>2</v>
          </cell>
        </row>
        <row r="281">
          <cell r="B281" t="str">
            <v>PURCHASE ENERGY RATE (P/U)</v>
          </cell>
          <cell r="D281">
            <v>290</v>
          </cell>
        </row>
        <row r="282">
          <cell r="B282" t="str">
            <v>PURCHASE FAC RATE (P/U)</v>
          </cell>
          <cell r="D282">
            <v>0</v>
          </cell>
        </row>
        <row r="283">
          <cell r="B283" t="str">
            <v>ENERGY RATE FOR SALE TO MSEB (P/U)</v>
          </cell>
          <cell r="D283">
            <v>125.9</v>
          </cell>
        </row>
        <row r="284">
          <cell r="B284" t="str">
            <v>ENERGY RATE FOR SALE TO INTER STATE  UTILITIES (P/U)</v>
          </cell>
          <cell r="D284">
            <v>125.9</v>
          </cell>
        </row>
        <row r="285">
          <cell r="B285" t="str">
            <v>FAC RATE FOR SALE TO INTER STATE  UTILITIES (P/U)</v>
          </cell>
          <cell r="D285">
            <v>124.1</v>
          </cell>
        </row>
        <row r="286">
          <cell r="B286" t="str">
            <v>FAC RATE FOR SALE TO MSEB (P/U)</v>
          </cell>
          <cell r="D286">
            <v>124.1</v>
          </cell>
        </row>
        <row r="287">
          <cell r="B287" t="str">
            <v>PURCHASE MD RATE (Rs./KVA/MONTH)</v>
          </cell>
          <cell r="D287">
            <v>600</v>
          </cell>
        </row>
        <row r="289">
          <cell r="B289" t="str">
            <v>FUEL COST (Rs./MT) :</v>
          </cell>
        </row>
        <row r="290">
          <cell r="B290" t="str">
            <v>COAL</v>
          </cell>
          <cell r="D290">
            <v>2875</v>
          </cell>
        </row>
        <row r="291">
          <cell r="B291" t="str">
            <v>GAS</v>
          </cell>
          <cell r="D291">
            <v>4200</v>
          </cell>
        </row>
        <row r="292">
          <cell r="B292" t="str">
            <v>LSHS/ LSWR</v>
          </cell>
          <cell r="D292">
            <v>9760</v>
          </cell>
        </row>
        <row r="293">
          <cell r="B293" t="str">
            <v>-</v>
          </cell>
          <cell r="C293" t="str">
            <v>-</v>
          </cell>
          <cell r="D293" t="str">
            <v>-</v>
          </cell>
        </row>
        <row r="295">
          <cell r="B295" t="str">
            <v>Tariff :</v>
          </cell>
        </row>
        <row r="296">
          <cell r="C296" t="str">
            <v>MD</v>
          </cell>
          <cell r="D296" t="str">
            <v>RKVAH</v>
          </cell>
        </row>
        <row r="297">
          <cell r="C297" t="str">
            <v>(Rs./KVA)</v>
          </cell>
          <cell r="D297" t="str">
            <v>(P./RKVAH)</v>
          </cell>
        </row>
        <row r="298">
          <cell r="B298" t="str">
            <v>TEXTILES</v>
          </cell>
          <cell r="C298">
            <v>170</v>
          </cell>
          <cell r="D298">
            <v>0</v>
          </cell>
        </row>
        <row r="299">
          <cell r="B299" t="str">
            <v>HT INDUSTRIES</v>
          </cell>
          <cell r="C299">
            <v>170</v>
          </cell>
          <cell r="D299">
            <v>0</v>
          </cell>
        </row>
        <row r="300">
          <cell r="B300" t="str">
            <v>HT COMMERCIAL</v>
          </cell>
          <cell r="C300">
            <v>170</v>
          </cell>
          <cell r="D300">
            <v>0</v>
          </cell>
        </row>
        <row r="301">
          <cell r="B301" t="str">
            <v>LT INDUSTRIES (TWO PART TARIFF)</v>
          </cell>
          <cell r="C301">
            <v>175</v>
          </cell>
          <cell r="D301">
            <v>0</v>
          </cell>
        </row>
        <row r="302">
          <cell r="B302" t="str">
            <v>LT COMMERCIAL (TWO PART TARIFF)</v>
          </cell>
          <cell r="C302">
            <v>175</v>
          </cell>
          <cell r="D302">
            <v>0</v>
          </cell>
        </row>
        <row r="303">
          <cell r="B303" t="str">
            <v>RAILWAYS</v>
          </cell>
          <cell r="C303">
            <v>170</v>
          </cell>
          <cell r="D303">
            <v>0</v>
          </cell>
        </row>
        <row r="304">
          <cell r="B304" t="str">
            <v>BEST</v>
          </cell>
          <cell r="C304">
            <v>170</v>
          </cell>
          <cell r="D304">
            <v>0</v>
          </cell>
        </row>
        <row r="305">
          <cell r="B305" t="str">
            <v>BSES (22/33 KV)</v>
          </cell>
          <cell r="C305">
            <v>200</v>
          </cell>
          <cell r="D305">
            <v>0</v>
          </cell>
        </row>
        <row r="306">
          <cell r="B306" t="str">
            <v>BSES (220 KV)</v>
          </cell>
          <cell r="D306">
            <v>0</v>
          </cell>
        </row>
        <row r="307">
          <cell r="B307" t="str">
            <v>MSEB 22 KV</v>
          </cell>
          <cell r="D307">
            <v>0</v>
          </cell>
        </row>
        <row r="308">
          <cell r="B308" t="str">
            <v>ENERGY RATE (P/KWH) :</v>
          </cell>
        </row>
        <row r="309">
          <cell r="B309" t="str">
            <v>TEXTILES</v>
          </cell>
          <cell r="C309">
            <v>197</v>
          </cell>
        </row>
        <row r="310">
          <cell r="B310" t="str">
            <v>HT INDUSTRIES</v>
          </cell>
          <cell r="C310">
            <v>197</v>
          </cell>
        </row>
        <row r="311">
          <cell r="B311" t="str">
            <v>HT COMMERCIAL</v>
          </cell>
          <cell r="C311">
            <v>197</v>
          </cell>
        </row>
        <row r="312">
          <cell r="B312" t="str">
            <v>LT INDUSTRIES (SINGLE PART TARIFF)</v>
          </cell>
          <cell r="C312">
            <v>272</v>
          </cell>
        </row>
        <row r="313">
          <cell r="B313" t="str">
            <v>LT INDUSTRIES (TWO PART TARIFF)</v>
          </cell>
          <cell r="C313">
            <v>202</v>
          </cell>
        </row>
        <row r="314">
          <cell r="B314" t="str">
            <v>LT COMMERCIAL (SINGLE PART TARIFF)</v>
          </cell>
          <cell r="C314">
            <v>272</v>
          </cell>
        </row>
        <row r="315">
          <cell r="B315" t="str">
            <v>LT COMMERCIAL (TWO PART TARIFF)</v>
          </cell>
          <cell r="C315">
            <v>202</v>
          </cell>
        </row>
        <row r="316">
          <cell r="B316" t="str">
            <v>RESIDENTIAL</v>
          </cell>
          <cell r="C316">
            <v>212.75</v>
          </cell>
        </row>
        <row r="317">
          <cell r="B317" t="str">
            <v>RAILWAYS</v>
          </cell>
          <cell r="C317">
            <v>197</v>
          </cell>
        </row>
        <row r="318">
          <cell r="B318" t="str">
            <v>BEST</v>
          </cell>
          <cell r="C318">
            <v>177</v>
          </cell>
        </row>
        <row r="319">
          <cell r="B319" t="str">
            <v>BSES</v>
          </cell>
          <cell r="C319">
            <v>177</v>
          </cell>
        </row>
        <row r="320">
          <cell r="B320" t="str">
            <v>BSES 220 KV</v>
          </cell>
          <cell r="C320">
            <v>209</v>
          </cell>
        </row>
        <row r="321">
          <cell r="B321" t="str">
            <v>BASIC COST OF FUEL (Rs./MKCL)</v>
          </cell>
          <cell r="C321">
            <v>325</v>
          </cell>
        </row>
        <row r="322">
          <cell r="B322" t="str">
            <v>-</v>
          </cell>
        </row>
        <row r="323">
          <cell r="B323" t="str">
            <v>CALORIFIC VALUES (MKCL/MT) :</v>
          </cell>
        </row>
        <row r="324">
          <cell r="B324" t="str">
            <v>COAL</v>
          </cell>
          <cell r="C324">
            <v>5.1278223000000001</v>
          </cell>
        </row>
        <row r="325">
          <cell r="B325" t="str">
            <v>GAS</v>
          </cell>
          <cell r="C325">
            <v>13</v>
          </cell>
        </row>
        <row r="326">
          <cell r="B326" t="str">
            <v>LSHS/ LSWR</v>
          </cell>
          <cell r="C326">
            <v>10.5</v>
          </cell>
        </row>
        <row r="328">
          <cell r="B328" t="str">
            <v>HEAT RATES &amp; AUXILIARY CONSUMPTION</v>
          </cell>
          <cell r="C328" t="str">
            <v>HEAT RATE</v>
          </cell>
          <cell r="D328" t="str">
            <v>AUX.CONS.</v>
          </cell>
        </row>
        <row r="329">
          <cell r="C329" t="str">
            <v>MKCL/MU</v>
          </cell>
          <cell r="D329" t="str">
            <v>(%)</v>
          </cell>
        </row>
        <row r="330">
          <cell r="B330" t="str">
            <v>------------------------------------</v>
          </cell>
          <cell r="C330" t="str">
            <v>-</v>
          </cell>
          <cell r="D330" t="str">
            <v>-</v>
          </cell>
        </row>
        <row r="332">
          <cell r="B332" t="str">
            <v>UNIT NO.4</v>
          </cell>
          <cell r="C332">
            <v>2600</v>
          </cell>
          <cell r="D332">
            <v>10</v>
          </cell>
        </row>
        <row r="333">
          <cell r="B333" t="str">
            <v>UNIT NO.5</v>
          </cell>
          <cell r="C333">
            <v>2430</v>
          </cell>
          <cell r="D333">
            <v>5</v>
          </cell>
        </row>
        <row r="334">
          <cell r="B334" t="str">
            <v>UNIT NO.6</v>
          </cell>
          <cell r="C334">
            <v>2380</v>
          </cell>
          <cell r="D334">
            <v>4</v>
          </cell>
        </row>
        <row r="335">
          <cell r="B335" t="str">
            <v>UNIT NO.7 AS GT</v>
          </cell>
          <cell r="C335">
            <v>2850</v>
          </cell>
          <cell r="D335">
            <v>2.1</v>
          </cell>
        </row>
        <row r="336">
          <cell r="B336" t="str">
            <v>UNIT NO.7</v>
          </cell>
          <cell r="C336">
            <v>2000</v>
          </cell>
          <cell r="D336">
            <v>2</v>
          </cell>
        </row>
        <row r="337">
          <cell r="B337" t="str">
            <v>HYDRO</v>
          </cell>
          <cell r="D337">
            <v>0.5</v>
          </cell>
        </row>
        <row r="339">
          <cell r="B339" t="str">
            <v>TAXABLE SALES</v>
          </cell>
          <cell r="C339">
            <v>91</v>
          </cell>
          <cell r="D339" t="str">
            <v>%</v>
          </cell>
        </row>
        <row r="340">
          <cell r="B340" t="str">
            <v xml:space="preserve">TAX ON  SALE RATE </v>
          </cell>
          <cell r="C340">
            <v>15</v>
          </cell>
          <cell r="D340" t="str">
            <v>(P/KWH)</v>
          </cell>
        </row>
        <row r="342">
          <cell r="B342" t="str">
            <v>T T &amp; D LOSSES</v>
          </cell>
          <cell r="C342">
            <v>2.2999999999999998</v>
          </cell>
          <cell r="D342" t="str">
            <v>%</v>
          </cell>
        </row>
      </sheetData>
      <sheetData sheetId="2" refreshError="1"/>
      <sheetData sheetId="3" refreshError="1"/>
      <sheetData sheetId="4" refreshError="1"/>
      <sheetData sheetId="5" refreshError="1"/>
      <sheetData sheetId="6"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8"/>
      <sheetName val="COA-17"/>
      <sheetName val="집계표"/>
      <sheetName val="MixBed"/>
      <sheetName val="CondPol"/>
      <sheetName val="Invoicewise rev for PoC"/>
    </sheetNames>
    <sheetDataSet>
      <sheetData sheetId="0"/>
      <sheetData sheetId="1"/>
      <sheetData sheetId="2" refreshError="1"/>
      <sheetData sheetId="3" refreshError="1"/>
      <sheetData sheetId="4" refreshError="1"/>
      <sheetData sheetId="5"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_5"/>
      <sheetName val="Monthly_Qtr "/>
      <sheetName val="License Area"/>
      <sheetName val="SALE&amp;COST"/>
    </sheetNames>
    <sheetDataSet>
      <sheetData sheetId="0"/>
      <sheetData sheetId="1" refreshError="1"/>
      <sheetData sheetId="2" refreshError="1"/>
      <sheetData sheetId="3"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ap 03-04"/>
    </sheetNames>
    <sheetDataSet>
      <sheetData sheetId="0" refreshError="1">
        <row r="720">
          <cell r="F720">
            <v>9.2007236087066471E-2</v>
          </cell>
        </row>
        <row r="721">
          <cell r="F721">
            <v>0.90799276391293349</v>
          </cell>
        </row>
      </sheetData>
      <sheetData sheetId="1"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ap 03-04"/>
    </sheetNames>
    <sheetDataSet>
      <sheetData sheetId="0" refreshError="1">
        <row r="720">
          <cell r="F720">
            <v>9.2007236087066471E-2</v>
          </cell>
        </row>
        <row r="721">
          <cell r="F721">
            <v>0.90799276391293349</v>
          </cell>
        </row>
      </sheetData>
      <sheetData sheetId="1"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Hedge cost &amp; Rupee loan cnvr"/>
      <sheetName val="f5_USD INR 70"/>
      <sheetName val="f5_USD INR 50"/>
    </sheetNames>
    <sheetDataSet>
      <sheetData sheetId="0"/>
      <sheetData sheetId="1"/>
      <sheetData sheetId="2"/>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Dailysource"/>
      <sheetName val="Chart2"/>
      <sheetName val="Sheet2"/>
      <sheetName val="local-Rer"/>
      <sheetName val="IOCL Chart"/>
      <sheetName val="IOCL"/>
      <sheetName val="daily flash"/>
      <sheetName val="Chart3"/>
      <sheetName val="LSHS base"/>
      <sheetName val="Sheet1"/>
      <sheetName val="ED-LSHS Chart"/>
      <sheetName val="LSHS Data"/>
      <sheetName val="Chart Price trend"/>
      <sheetName val="Chart % Change"/>
      <sheetName val="LSHS Prices"/>
      <sheetName val="Sheet3"/>
      <sheetName val="Sheet4"/>
      <sheetName val="CE"/>
    </sheetNames>
    <sheetDataSet>
      <sheetData sheetId="0" refreshError="1"/>
      <sheetData sheetId="1" refreshError="1">
        <row r="2">
          <cell r="B2" t="str">
            <v>Dates</v>
          </cell>
          <cell r="C2" t="str">
            <v>Argus</v>
          </cell>
          <cell r="D2" t="str">
            <v>180 CST</v>
          </cell>
          <cell r="E2" t="str">
            <v>Brent</v>
          </cell>
          <cell r="F2" t="str">
            <v>Argus FOB Prem</v>
          </cell>
          <cell r="G2" t="str">
            <v>180 CST</v>
          </cell>
          <cell r="H2" t="str">
            <v>180 CST-AG</v>
          </cell>
        </row>
        <row r="3">
          <cell r="B3">
            <v>37669</v>
          </cell>
          <cell r="C3">
            <v>28.6</v>
          </cell>
          <cell r="E3">
            <v>33.44</v>
          </cell>
          <cell r="F3">
            <v>0.8</v>
          </cell>
        </row>
        <row r="4">
          <cell r="B4">
            <v>37670</v>
          </cell>
          <cell r="C4">
            <v>28.6</v>
          </cell>
          <cell r="E4">
            <v>32.35</v>
          </cell>
          <cell r="F4">
            <v>0.9</v>
          </cell>
        </row>
        <row r="5">
          <cell r="B5">
            <v>37671</v>
          </cell>
          <cell r="C5">
            <v>28.4</v>
          </cell>
          <cell r="D5">
            <v>28.535714285714285</v>
          </cell>
          <cell r="E5">
            <v>33.21</v>
          </cell>
          <cell r="F5">
            <v>0.8</v>
          </cell>
        </row>
        <row r="6">
          <cell r="B6">
            <v>37672</v>
          </cell>
          <cell r="C6">
            <v>28.3</v>
          </cell>
          <cell r="D6">
            <v>28.107142857142858</v>
          </cell>
          <cell r="E6">
            <v>33.21</v>
          </cell>
          <cell r="F6">
            <v>0.6</v>
          </cell>
        </row>
        <row r="7">
          <cell r="B7">
            <v>37673</v>
          </cell>
          <cell r="C7">
            <v>28.3</v>
          </cell>
          <cell r="D7">
            <v>27.785714285714285</v>
          </cell>
          <cell r="E7">
            <v>31.7</v>
          </cell>
          <cell r="F7">
            <v>0.6</v>
          </cell>
        </row>
        <row r="8">
          <cell r="B8">
            <v>37676</v>
          </cell>
          <cell r="C8">
            <v>28.3</v>
          </cell>
          <cell r="D8">
            <v>28.464285714285715</v>
          </cell>
          <cell r="E8">
            <v>32.770000000000003</v>
          </cell>
          <cell r="F8">
            <v>0.6</v>
          </cell>
        </row>
        <row r="9">
          <cell r="B9">
            <v>37677</v>
          </cell>
          <cell r="C9">
            <v>28.6</v>
          </cell>
          <cell r="E9">
            <v>33.39</v>
          </cell>
          <cell r="F9">
            <v>0.8</v>
          </cell>
        </row>
        <row r="10">
          <cell r="B10">
            <v>37678</v>
          </cell>
          <cell r="C10">
            <v>28.8</v>
          </cell>
          <cell r="D10">
            <v>28.035714285714285</v>
          </cell>
          <cell r="E10">
            <v>33.01</v>
          </cell>
          <cell r="F10">
            <v>0.9</v>
          </cell>
        </row>
        <row r="11">
          <cell r="B11">
            <v>37679</v>
          </cell>
          <cell r="C11">
            <v>28.8</v>
          </cell>
          <cell r="D11">
            <v>28.357142857142858</v>
          </cell>
          <cell r="E11">
            <v>33.729999999999997</v>
          </cell>
          <cell r="F11">
            <v>1.2</v>
          </cell>
        </row>
        <row r="12">
          <cell r="B12">
            <v>37680</v>
          </cell>
          <cell r="C12">
            <v>28.5</v>
          </cell>
          <cell r="D12">
            <v>27.857142857142858</v>
          </cell>
          <cell r="E12">
            <v>33.880000000000003</v>
          </cell>
          <cell r="F12">
            <v>1.5</v>
          </cell>
        </row>
        <row r="13">
          <cell r="B13">
            <v>37683</v>
          </cell>
          <cell r="C13">
            <v>28.1</v>
          </cell>
          <cell r="D13">
            <v>27.071428571428573</v>
          </cell>
          <cell r="E13">
            <v>34</v>
          </cell>
          <cell r="F13">
            <v>1.7</v>
          </cell>
        </row>
        <row r="14">
          <cell r="B14">
            <v>37684</v>
          </cell>
          <cell r="C14">
            <v>28.1</v>
          </cell>
          <cell r="D14">
            <v>25.714285714285715</v>
          </cell>
          <cell r="E14">
            <v>33.32</v>
          </cell>
          <cell r="F14">
            <v>1.7</v>
          </cell>
        </row>
        <row r="15">
          <cell r="B15">
            <v>37685</v>
          </cell>
          <cell r="C15">
            <v>28.5</v>
          </cell>
          <cell r="D15">
            <v>25.892857142857142</v>
          </cell>
          <cell r="E15">
            <v>34.08</v>
          </cell>
          <cell r="F15">
            <v>1.7</v>
          </cell>
        </row>
        <row r="16">
          <cell r="B16">
            <v>37686</v>
          </cell>
          <cell r="C16">
            <v>28.8</v>
          </cell>
          <cell r="D16">
            <v>26.107142857142858</v>
          </cell>
          <cell r="E16">
            <v>33.99</v>
          </cell>
          <cell r="F16">
            <v>1.7</v>
          </cell>
        </row>
        <row r="17">
          <cell r="B17">
            <v>37687</v>
          </cell>
          <cell r="C17">
            <v>28.8</v>
          </cell>
          <cell r="D17">
            <v>26.678571428571427</v>
          </cell>
          <cell r="E17">
            <v>34.67</v>
          </cell>
          <cell r="F17">
            <v>1.9</v>
          </cell>
        </row>
        <row r="18">
          <cell r="B18">
            <v>37690</v>
          </cell>
          <cell r="C18">
            <v>29</v>
          </cell>
          <cell r="D18">
            <v>27</v>
          </cell>
          <cell r="E18">
            <v>35.04</v>
          </cell>
          <cell r="F18">
            <v>1.9</v>
          </cell>
        </row>
        <row r="19">
          <cell r="B19">
            <v>37691</v>
          </cell>
          <cell r="C19">
            <v>29</v>
          </cell>
          <cell r="D19">
            <v>27.142857142857142</v>
          </cell>
          <cell r="E19">
            <v>34.89</v>
          </cell>
          <cell r="F19">
            <v>1.9</v>
          </cell>
        </row>
        <row r="20">
          <cell r="B20">
            <v>37692</v>
          </cell>
          <cell r="C20">
            <v>28.8</v>
          </cell>
          <cell r="E20">
            <v>33.82</v>
          </cell>
          <cell r="F20">
            <v>1.9</v>
          </cell>
          <cell r="G20">
            <v>24.792857142857144</v>
          </cell>
          <cell r="H20">
            <v>24.792857142857144</v>
          </cell>
        </row>
        <row r="21">
          <cell r="B21">
            <v>37693</v>
          </cell>
          <cell r="C21">
            <v>28.6</v>
          </cell>
          <cell r="D21">
            <v>27.214285714285715</v>
          </cell>
          <cell r="E21">
            <v>34.01</v>
          </cell>
          <cell r="F21">
            <v>1.9</v>
          </cell>
          <cell r="G21">
            <v>25.25714285714286</v>
          </cell>
          <cell r="H21">
            <v>25.25714285714286</v>
          </cell>
        </row>
        <row r="22">
          <cell r="B22">
            <v>37694</v>
          </cell>
          <cell r="C22">
            <v>28.4</v>
          </cell>
          <cell r="E22">
            <v>32.44</v>
          </cell>
          <cell r="F22">
            <v>2</v>
          </cell>
          <cell r="G22">
            <v>24.485714285714288</v>
          </cell>
          <cell r="H22">
            <v>24.485714285714288</v>
          </cell>
        </row>
        <row r="23">
          <cell r="B23">
            <v>37697</v>
          </cell>
          <cell r="C23">
            <v>28</v>
          </cell>
          <cell r="D23">
            <v>26.357142857142858</v>
          </cell>
          <cell r="E23">
            <v>32.520000000000003</v>
          </cell>
          <cell r="F23">
            <v>2</v>
          </cell>
          <cell r="G23">
            <v>24.235714285714288</v>
          </cell>
          <cell r="H23">
            <v>24.235714285714288</v>
          </cell>
        </row>
        <row r="24">
          <cell r="B24">
            <v>37698</v>
          </cell>
          <cell r="C24">
            <v>27</v>
          </cell>
          <cell r="E24">
            <v>32</v>
          </cell>
          <cell r="F24">
            <v>1.9</v>
          </cell>
          <cell r="G24">
            <v>21.985714285714288</v>
          </cell>
          <cell r="H24">
            <v>21.985714285714288</v>
          </cell>
        </row>
        <row r="25">
          <cell r="B25">
            <v>37699</v>
          </cell>
          <cell r="C25">
            <v>26.5</v>
          </cell>
          <cell r="E25">
            <v>28.74</v>
          </cell>
          <cell r="F25">
            <v>1.9</v>
          </cell>
          <cell r="G25">
            <v>21.771428571428572</v>
          </cell>
          <cell r="H25">
            <v>21.771428571428572</v>
          </cell>
        </row>
        <row r="26">
          <cell r="B26">
            <v>37700</v>
          </cell>
          <cell r="C26">
            <v>25.8</v>
          </cell>
          <cell r="E26">
            <v>28.32</v>
          </cell>
          <cell r="F26">
            <v>1.9</v>
          </cell>
          <cell r="G26">
            <v>21.12857142857143</v>
          </cell>
          <cell r="H26">
            <v>21.12857142857143</v>
          </cell>
        </row>
        <row r="27">
          <cell r="B27">
            <v>37701</v>
          </cell>
          <cell r="C27">
            <v>24.8</v>
          </cell>
          <cell r="E27">
            <v>26.84</v>
          </cell>
          <cell r="F27">
            <v>1.9</v>
          </cell>
          <cell r="G27">
            <v>20.542857142857144</v>
          </cell>
          <cell r="H27">
            <v>20.542857142857144</v>
          </cell>
        </row>
        <row r="28">
          <cell r="B28">
            <v>37704</v>
          </cell>
          <cell r="C28">
            <v>24</v>
          </cell>
          <cell r="D28">
            <v>22.285714285714285</v>
          </cell>
          <cell r="E28">
            <v>24.82</v>
          </cell>
          <cell r="F28">
            <v>1.9</v>
          </cell>
          <cell r="G28">
            <v>21.00714285714286</v>
          </cell>
          <cell r="H28">
            <v>21.00714285714286</v>
          </cell>
        </row>
        <row r="29">
          <cell r="B29">
            <v>37705</v>
          </cell>
          <cell r="C29">
            <v>23.8</v>
          </cell>
          <cell r="D29">
            <v>23.071428571428573</v>
          </cell>
          <cell r="E29">
            <v>26.31</v>
          </cell>
          <cell r="F29">
            <v>1.9</v>
          </cell>
          <cell r="G29">
            <v>21.692857142857143</v>
          </cell>
          <cell r="H29">
            <v>21.692857142857143</v>
          </cell>
        </row>
        <row r="30">
          <cell r="B30">
            <v>37706</v>
          </cell>
          <cell r="E30">
            <v>26.78</v>
          </cell>
        </row>
        <row r="31">
          <cell r="B31">
            <v>37707</v>
          </cell>
          <cell r="C31">
            <v>24.5</v>
          </cell>
          <cell r="D31">
            <v>23.25</v>
          </cell>
          <cell r="E31">
            <v>25.93</v>
          </cell>
          <cell r="F31">
            <v>1.8</v>
          </cell>
          <cell r="G31">
            <v>21.692857142857143</v>
          </cell>
          <cell r="H31">
            <v>21.692857142857143</v>
          </cell>
        </row>
        <row r="32">
          <cell r="B32">
            <v>37708</v>
          </cell>
          <cell r="C32">
            <v>25.5</v>
          </cell>
          <cell r="D32">
            <v>24.214285714285715</v>
          </cell>
          <cell r="E32">
            <v>28.13</v>
          </cell>
          <cell r="F32">
            <v>2.2000000000000002</v>
          </cell>
          <cell r="G32">
            <v>22.671428571428571</v>
          </cell>
          <cell r="H32">
            <v>22.671428571428571</v>
          </cell>
        </row>
        <row r="33">
          <cell r="B33">
            <v>37711</v>
          </cell>
          <cell r="C33">
            <v>25.5</v>
          </cell>
          <cell r="D33">
            <v>24.464285714285715</v>
          </cell>
          <cell r="E33">
            <v>27.29</v>
          </cell>
          <cell r="F33">
            <v>2.2000000000000002</v>
          </cell>
          <cell r="G33">
            <v>22.24285714285714</v>
          </cell>
          <cell r="H33">
            <v>22.24285714285714</v>
          </cell>
        </row>
        <row r="34">
          <cell r="B34">
            <v>37712</v>
          </cell>
          <cell r="C34">
            <v>25.7</v>
          </cell>
          <cell r="D34">
            <v>25</v>
          </cell>
          <cell r="E34">
            <v>28.09</v>
          </cell>
          <cell r="F34">
            <v>2</v>
          </cell>
          <cell r="G34">
            <v>21.171428571428571</v>
          </cell>
          <cell r="H34">
            <v>21.171428571428571</v>
          </cell>
        </row>
        <row r="35">
          <cell r="B35">
            <v>37713</v>
          </cell>
          <cell r="C35">
            <v>24.2</v>
          </cell>
          <cell r="F35">
            <v>2</v>
          </cell>
          <cell r="G35">
            <v>20.385714285714283</v>
          </cell>
          <cell r="H35">
            <v>20.385714285714283</v>
          </cell>
        </row>
        <row r="36">
          <cell r="B36">
            <v>37714</v>
          </cell>
          <cell r="C36">
            <v>24</v>
          </cell>
          <cell r="E36">
            <v>25.37</v>
          </cell>
          <cell r="F36">
            <v>2.5</v>
          </cell>
          <cell r="G36">
            <v>19.671428571428571</v>
          </cell>
          <cell r="H36">
            <v>19.671428571428571</v>
          </cell>
        </row>
        <row r="37">
          <cell r="B37">
            <v>37715</v>
          </cell>
          <cell r="C37">
            <v>23.6</v>
          </cell>
          <cell r="D37">
            <v>22.321428571428573</v>
          </cell>
          <cell r="E37">
            <v>26.08</v>
          </cell>
          <cell r="F37">
            <v>2.5</v>
          </cell>
          <cell r="G37">
            <v>19.614285714285717</v>
          </cell>
          <cell r="H37">
            <v>19.614285714285717</v>
          </cell>
        </row>
        <row r="38">
          <cell r="B38">
            <v>37718</v>
          </cell>
          <cell r="C38">
            <v>22.7</v>
          </cell>
          <cell r="D38">
            <v>20.68</v>
          </cell>
          <cell r="E38">
            <v>24.91</v>
          </cell>
          <cell r="F38">
            <v>2.8</v>
          </cell>
          <cell r="G38">
            <v>18.114285714285714</v>
          </cell>
          <cell r="H38">
            <v>18.114285714285714</v>
          </cell>
        </row>
        <row r="39">
          <cell r="B39">
            <v>37720</v>
          </cell>
          <cell r="C39">
            <v>23.3</v>
          </cell>
          <cell r="D39">
            <v>21.714285714285715</v>
          </cell>
          <cell r="E39">
            <v>25.43</v>
          </cell>
          <cell r="F39">
            <v>3</v>
          </cell>
          <cell r="G39">
            <v>19.307142857142857</v>
          </cell>
          <cell r="H39">
            <v>19.307142857142857</v>
          </cell>
        </row>
        <row r="40">
          <cell r="B40">
            <v>37721</v>
          </cell>
          <cell r="C40">
            <v>23.8</v>
          </cell>
          <cell r="E40">
            <v>25.35</v>
          </cell>
          <cell r="F40">
            <v>3</v>
          </cell>
          <cell r="G40">
            <v>20.021428571428572</v>
          </cell>
          <cell r="H40">
            <v>20.021428571428572</v>
          </cell>
        </row>
        <row r="41">
          <cell r="B41">
            <v>37722</v>
          </cell>
          <cell r="D41">
            <v>21.535714285714285</v>
          </cell>
        </row>
        <row r="42">
          <cell r="B42">
            <v>37725</v>
          </cell>
          <cell r="C42">
            <v>23.3</v>
          </cell>
          <cell r="D42">
            <v>21.607142857142858</v>
          </cell>
          <cell r="E42">
            <v>24.26</v>
          </cell>
          <cell r="F42">
            <v>3</v>
          </cell>
        </row>
        <row r="43">
          <cell r="B43">
            <v>37726</v>
          </cell>
          <cell r="C43">
            <v>23.2</v>
          </cell>
          <cell r="D43">
            <v>21.535714285714285</v>
          </cell>
          <cell r="F43">
            <v>3</v>
          </cell>
          <cell r="G43">
            <v>19</v>
          </cell>
          <cell r="H43">
            <v>19</v>
          </cell>
        </row>
        <row r="44">
          <cell r="B44">
            <v>37727</v>
          </cell>
          <cell r="C44">
            <v>23.5</v>
          </cell>
          <cell r="F44">
            <v>3</v>
          </cell>
          <cell r="G44">
            <v>19.285714285714285</v>
          </cell>
          <cell r="H44">
            <v>19.285714285714285</v>
          </cell>
        </row>
        <row r="45">
          <cell r="B45">
            <v>37728</v>
          </cell>
          <cell r="C45">
            <v>23.9</v>
          </cell>
          <cell r="E45">
            <v>24.98</v>
          </cell>
          <cell r="F45">
            <v>3</v>
          </cell>
          <cell r="G45">
            <v>20.12857142857143</v>
          </cell>
          <cell r="H45">
            <v>20.12857142857143</v>
          </cell>
        </row>
        <row r="46">
          <cell r="B46">
            <v>37732</v>
          </cell>
          <cell r="C46">
            <v>23.9</v>
          </cell>
          <cell r="D46">
            <v>21.928571428571427</v>
          </cell>
          <cell r="E46">
            <v>25.4</v>
          </cell>
          <cell r="F46">
            <v>3</v>
          </cell>
          <cell r="G46">
            <v>20.771428571428572</v>
          </cell>
          <cell r="H46">
            <v>20.771428571428572</v>
          </cell>
        </row>
        <row r="47">
          <cell r="B47">
            <v>37733</v>
          </cell>
          <cell r="C47">
            <v>23.9</v>
          </cell>
          <cell r="D47">
            <v>22.142857142857142</v>
          </cell>
          <cell r="E47">
            <v>25.84</v>
          </cell>
          <cell r="F47">
            <v>3</v>
          </cell>
          <cell r="G47">
            <v>20.771428571428572</v>
          </cell>
          <cell r="H47">
            <v>20.771428571428572</v>
          </cell>
        </row>
        <row r="48">
          <cell r="B48">
            <v>37734</v>
          </cell>
          <cell r="C48">
            <v>23.6</v>
          </cell>
          <cell r="D48">
            <v>21.892857142857142</v>
          </cell>
          <cell r="E48">
            <v>25.8</v>
          </cell>
          <cell r="F48">
            <v>3</v>
          </cell>
          <cell r="G48">
            <v>20.7</v>
          </cell>
          <cell r="H48">
            <v>20.7</v>
          </cell>
        </row>
        <row r="49">
          <cell r="B49">
            <v>37735</v>
          </cell>
          <cell r="C49">
            <v>23.2</v>
          </cell>
          <cell r="D49">
            <v>21.357142857142858</v>
          </cell>
          <cell r="E49">
            <v>24.44</v>
          </cell>
          <cell r="F49">
            <v>3</v>
          </cell>
          <cell r="G49">
            <v>20.592857142857145</v>
          </cell>
          <cell r="H49">
            <v>20.592857142857145</v>
          </cell>
        </row>
        <row r="50">
          <cell r="B50">
            <v>37736</v>
          </cell>
          <cell r="C50">
            <v>23.2</v>
          </cell>
          <cell r="D50">
            <v>21.857142857142858</v>
          </cell>
          <cell r="F50">
            <v>3</v>
          </cell>
          <cell r="G50">
            <v>21.071428571428573</v>
          </cell>
          <cell r="H50">
            <v>21.071428571428573</v>
          </cell>
        </row>
        <row r="51">
          <cell r="B51">
            <v>37739</v>
          </cell>
          <cell r="D51">
            <v>21.785714285714285</v>
          </cell>
          <cell r="E51">
            <v>24.29</v>
          </cell>
          <cell r="G51">
            <v>21.285714285714285</v>
          </cell>
          <cell r="H51">
            <v>21.285714285714285</v>
          </cell>
        </row>
        <row r="52">
          <cell r="B52">
            <v>37740</v>
          </cell>
          <cell r="C52">
            <v>22.6</v>
          </cell>
          <cell r="D52">
            <v>21.607142857142858</v>
          </cell>
          <cell r="E52">
            <v>23.41</v>
          </cell>
          <cell r="F52">
            <v>3</v>
          </cell>
          <cell r="G52">
            <v>20.857142857142858</v>
          </cell>
          <cell r="H52">
            <v>20.857142857142858</v>
          </cell>
        </row>
        <row r="53">
          <cell r="B53">
            <v>37741</v>
          </cell>
          <cell r="C53">
            <v>22.9</v>
          </cell>
          <cell r="D53">
            <v>21.571428571428573</v>
          </cell>
          <cell r="E53">
            <v>22.97</v>
          </cell>
          <cell r="G53">
            <v>21</v>
          </cell>
          <cell r="H53">
            <v>21</v>
          </cell>
        </row>
        <row r="54">
          <cell r="B54">
            <v>37743</v>
          </cell>
          <cell r="C54">
            <v>23.3</v>
          </cell>
          <cell r="D54">
            <v>22.428571428571399</v>
          </cell>
          <cell r="F54">
            <v>3</v>
          </cell>
          <cell r="G54">
            <v>21.74285714285714</v>
          </cell>
          <cell r="H54">
            <v>21.74285714285714</v>
          </cell>
        </row>
        <row r="55">
          <cell r="B55">
            <v>37746</v>
          </cell>
          <cell r="C55">
            <v>23.3</v>
          </cell>
          <cell r="D55">
            <v>22.214285714285715</v>
          </cell>
          <cell r="E55">
            <v>23.12</v>
          </cell>
          <cell r="F55">
            <v>3</v>
          </cell>
          <cell r="G55">
            <v>21.599999999999998</v>
          </cell>
          <cell r="H55">
            <v>21.599999999999998</v>
          </cell>
        </row>
        <row r="56">
          <cell r="B56">
            <v>37747</v>
          </cell>
          <cell r="C56">
            <v>23.3</v>
          </cell>
          <cell r="D56">
            <v>23</v>
          </cell>
          <cell r="E56">
            <v>23.39</v>
          </cell>
          <cell r="F56">
            <v>2.8</v>
          </cell>
          <cell r="G56">
            <v>21.599999999999998</v>
          </cell>
          <cell r="H56">
            <v>21.599999999999998</v>
          </cell>
        </row>
        <row r="57">
          <cell r="B57">
            <v>37748</v>
          </cell>
          <cell r="C57">
            <v>23</v>
          </cell>
          <cell r="D57">
            <v>22.714285714285715</v>
          </cell>
          <cell r="E57">
            <v>23.69</v>
          </cell>
          <cell r="F57">
            <v>2.8</v>
          </cell>
          <cell r="G57">
            <v>21.421428571428571</v>
          </cell>
          <cell r="H57">
            <v>21.599999999999998</v>
          </cell>
        </row>
        <row r="58">
          <cell r="B58">
            <v>37749</v>
          </cell>
          <cell r="C58">
            <v>22.8</v>
          </cell>
          <cell r="D58">
            <v>22.928571428571427</v>
          </cell>
          <cell r="E58">
            <v>23.85</v>
          </cell>
          <cell r="F58">
            <v>2.8</v>
          </cell>
          <cell r="G58">
            <v>21.50714285714286</v>
          </cell>
          <cell r="H58">
            <v>21.50714285714286</v>
          </cell>
        </row>
        <row r="59">
          <cell r="B59">
            <v>37750</v>
          </cell>
          <cell r="C59">
            <v>23</v>
          </cell>
          <cell r="D59">
            <v>22.607142857142858</v>
          </cell>
          <cell r="E59">
            <v>24.75</v>
          </cell>
          <cell r="F59">
            <v>2.5</v>
          </cell>
          <cell r="G59">
            <v>21.292857142857144</v>
          </cell>
          <cell r="H59">
            <v>21.292857142857144</v>
          </cell>
        </row>
        <row r="60">
          <cell r="B60">
            <v>37753</v>
          </cell>
          <cell r="C60">
            <v>23</v>
          </cell>
          <cell r="D60">
            <v>23</v>
          </cell>
          <cell r="E60">
            <v>24.74</v>
          </cell>
          <cell r="F60">
            <v>2.15</v>
          </cell>
          <cell r="G60">
            <v>20.50714285714286</v>
          </cell>
          <cell r="H60">
            <v>20.50714285714286</v>
          </cell>
        </row>
        <row r="61">
          <cell r="B61">
            <v>37754</v>
          </cell>
          <cell r="C61">
            <v>22.8</v>
          </cell>
          <cell r="D61">
            <v>22.571428571428573</v>
          </cell>
          <cell r="E61">
            <v>25.3</v>
          </cell>
          <cell r="F61">
            <v>2</v>
          </cell>
        </row>
        <row r="62">
          <cell r="B62">
            <v>37755</v>
          </cell>
          <cell r="D62">
            <v>21.571428571428573</v>
          </cell>
          <cell r="E62">
            <v>26.28</v>
          </cell>
        </row>
        <row r="63">
          <cell r="B63">
            <v>37756</v>
          </cell>
          <cell r="E63">
            <v>26.8</v>
          </cell>
        </row>
        <row r="64">
          <cell r="B64">
            <v>37757</v>
          </cell>
          <cell r="C64">
            <v>23.3</v>
          </cell>
          <cell r="D64">
            <v>21.642857142857142</v>
          </cell>
          <cell r="E64">
            <v>26.36</v>
          </cell>
          <cell r="F64">
            <v>1.7</v>
          </cell>
          <cell r="G64">
            <v>20.764285714285712</v>
          </cell>
          <cell r="H64">
            <v>20.764285714285712</v>
          </cell>
        </row>
        <row r="65">
          <cell r="B65">
            <v>37760</v>
          </cell>
          <cell r="C65">
            <v>23.5</v>
          </cell>
          <cell r="D65">
            <v>21.607142857142858</v>
          </cell>
          <cell r="E65">
            <v>27.22</v>
          </cell>
          <cell r="F65">
            <v>1.5</v>
          </cell>
          <cell r="G65">
            <v>20.907142857142855</v>
          </cell>
          <cell r="H65">
            <v>20.907142857142855</v>
          </cell>
        </row>
        <row r="66">
          <cell r="B66">
            <v>37761</v>
          </cell>
          <cell r="C66">
            <v>23.5</v>
          </cell>
          <cell r="D66">
            <v>21.214285714285715</v>
          </cell>
          <cell r="E66">
            <v>27.323699999999999</v>
          </cell>
          <cell r="F66">
            <v>1.5</v>
          </cell>
          <cell r="G66">
            <v>20.478571428571428</v>
          </cell>
          <cell r="H66">
            <v>20.478571428571428</v>
          </cell>
        </row>
        <row r="67">
          <cell r="B67">
            <v>37762</v>
          </cell>
          <cell r="C67">
            <v>23.2</v>
          </cell>
          <cell r="D67">
            <v>21.321428571428573</v>
          </cell>
          <cell r="F67">
            <v>1.4</v>
          </cell>
          <cell r="G67">
            <v>20.478571428571428</v>
          </cell>
          <cell r="H67">
            <v>20.478571428571428</v>
          </cell>
        </row>
        <row r="68">
          <cell r="B68">
            <v>37763</v>
          </cell>
          <cell r="C68">
            <v>23.3</v>
          </cell>
          <cell r="D68">
            <v>21.535714285714285</v>
          </cell>
          <cell r="F68">
            <v>1.3</v>
          </cell>
          <cell r="G68">
            <v>20.835714285714285</v>
          </cell>
          <cell r="H68">
            <v>20.835714285714285</v>
          </cell>
        </row>
        <row r="69">
          <cell r="B69">
            <v>37764</v>
          </cell>
          <cell r="C69">
            <v>23.5</v>
          </cell>
          <cell r="D69">
            <v>21.678571428571427</v>
          </cell>
          <cell r="E69">
            <v>26.78</v>
          </cell>
          <cell r="F69">
            <v>1.3</v>
          </cell>
          <cell r="G69">
            <v>21.599999999999998</v>
          </cell>
          <cell r="H69">
            <v>21.599999999999998</v>
          </cell>
        </row>
        <row r="70">
          <cell r="B70">
            <v>37767</v>
          </cell>
          <cell r="C70">
            <v>23.7</v>
          </cell>
          <cell r="D70">
            <v>22.571428571428573</v>
          </cell>
          <cell r="F70">
            <v>1.3</v>
          </cell>
          <cell r="G70">
            <v>21.814285714285713</v>
          </cell>
          <cell r="H70">
            <v>21.814285714285713</v>
          </cell>
        </row>
        <row r="71">
          <cell r="B71">
            <v>37768</v>
          </cell>
          <cell r="C71">
            <v>23.7</v>
          </cell>
          <cell r="D71">
            <v>22.571428571428573</v>
          </cell>
          <cell r="E71">
            <v>26.78</v>
          </cell>
          <cell r="F71">
            <v>1.3</v>
          </cell>
          <cell r="G71">
            <v>22.24285714285714</v>
          </cell>
          <cell r="H71">
            <v>22.24285714285714</v>
          </cell>
        </row>
        <row r="72">
          <cell r="B72">
            <v>37769</v>
          </cell>
          <cell r="C72">
            <v>23.5</v>
          </cell>
          <cell r="D72">
            <v>22.785714285714285</v>
          </cell>
          <cell r="E72">
            <v>26.88</v>
          </cell>
          <cell r="F72">
            <v>1.3</v>
          </cell>
          <cell r="G72">
            <v>22.171428571428571</v>
          </cell>
          <cell r="H72">
            <v>22.171428571428571</v>
          </cell>
        </row>
        <row r="73">
          <cell r="B73">
            <v>37770</v>
          </cell>
          <cell r="C73">
            <v>23.2</v>
          </cell>
          <cell r="D73">
            <v>22.285714285714285</v>
          </cell>
          <cell r="E73">
            <v>26.06</v>
          </cell>
          <cell r="F73">
            <v>1.3</v>
          </cell>
          <cell r="G73">
            <v>21.099999999999998</v>
          </cell>
          <cell r="H73">
            <v>21.028571428571428</v>
          </cell>
        </row>
        <row r="74">
          <cell r="B74">
            <v>37771</v>
          </cell>
          <cell r="C74">
            <v>23.2</v>
          </cell>
          <cell r="D74">
            <v>22.321428571428573</v>
          </cell>
          <cell r="E74">
            <v>26.32</v>
          </cell>
          <cell r="F74">
            <v>1.3</v>
          </cell>
          <cell r="H74">
            <v>21.485714285714288</v>
          </cell>
        </row>
        <row r="75">
          <cell r="B75">
            <v>37774</v>
          </cell>
          <cell r="C75">
            <v>23.3</v>
          </cell>
          <cell r="D75">
            <v>22.642857142857142</v>
          </cell>
          <cell r="E75">
            <v>26.63</v>
          </cell>
          <cell r="F75">
            <v>1.3</v>
          </cell>
          <cell r="H75">
            <v>21.592857142857145</v>
          </cell>
        </row>
        <row r="76">
          <cell r="B76">
            <v>37775</v>
          </cell>
          <cell r="C76">
            <v>23.3</v>
          </cell>
          <cell r="D76">
            <v>23.035714285714285</v>
          </cell>
          <cell r="E76">
            <v>27.87</v>
          </cell>
          <cell r="F76">
            <v>1.3</v>
          </cell>
          <cell r="H76">
            <v>22.021428571428572</v>
          </cell>
        </row>
        <row r="77">
          <cell r="B77">
            <v>37776</v>
          </cell>
          <cell r="C77">
            <v>23.8</v>
          </cell>
          <cell r="D77">
            <v>23.107142857142858</v>
          </cell>
          <cell r="E77">
            <v>28.09</v>
          </cell>
          <cell r="F77">
            <v>1.3</v>
          </cell>
          <cell r="G77">
            <v>22.04</v>
          </cell>
          <cell r="H77">
            <v>21.971428571428572</v>
          </cell>
        </row>
        <row r="78">
          <cell r="B78">
            <v>37777</v>
          </cell>
          <cell r="C78">
            <v>23.8</v>
          </cell>
          <cell r="D78">
            <v>22.607142857142858</v>
          </cell>
          <cell r="E78">
            <v>27.57</v>
          </cell>
          <cell r="F78">
            <v>1.3</v>
          </cell>
          <cell r="G78">
            <v>21.900000000000002</v>
          </cell>
          <cell r="H78">
            <v>21.828571428571429</v>
          </cell>
        </row>
        <row r="79">
          <cell r="B79">
            <v>37778</v>
          </cell>
          <cell r="C79">
            <v>24</v>
          </cell>
          <cell r="D79">
            <v>23.357142857142858</v>
          </cell>
          <cell r="E79">
            <v>27.68</v>
          </cell>
          <cell r="F79">
            <v>1.1000000000000001</v>
          </cell>
          <cell r="G79">
            <v>22.307142857142857</v>
          </cell>
          <cell r="H79">
            <v>22.235714285714288</v>
          </cell>
        </row>
        <row r="80">
          <cell r="B80">
            <v>37781</v>
          </cell>
          <cell r="C80">
            <v>23.8</v>
          </cell>
          <cell r="D80">
            <v>23.5</v>
          </cell>
          <cell r="E80">
            <v>28.56</v>
          </cell>
          <cell r="F80">
            <v>1</v>
          </cell>
          <cell r="G80">
            <v>22.271428571428572</v>
          </cell>
          <cell r="H80">
            <v>22.201428571428572</v>
          </cell>
        </row>
        <row r="81">
          <cell r="B81">
            <v>37782</v>
          </cell>
          <cell r="C81">
            <v>23.8</v>
          </cell>
          <cell r="D81">
            <v>23.571428571428601</v>
          </cell>
          <cell r="E81">
            <v>28.38</v>
          </cell>
          <cell r="F81">
            <v>1</v>
          </cell>
          <cell r="G81">
            <v>22.12857142857143</v>
          </cell>
          <cell r="H81">
            <v>22.05857142857143</v>
          </cell>
        </row>
        <row r="82">
          <cell r="B82">
            <v>37783</v>
          </cell>
          <cell r="C82">
            <v>23.8</v>
          </cell>
          <cell r="D82">
            <v>23.571428571428601</v>
          </cell>
          <cell r="E82">
            <v>28.52</v>
          </cell>
          <cell r="F82">
            <v>1</v>
          </cell>
          <cell r="G82">
            <v>22.271428571428572</v>
          </cell>
          <cell r="H82">
            <v>22.201428571428572</v>
          </cell>
        </row>
        <row r="83">
          <cell r="B83">
            <v>37784</v>
          </cell>
          <cell r="C83">
            <v>24</v>
          </cell>
          <cell r="D83">
            <v>23.714285714285701</v>
          </cell>
          <cell r="E83">
            <v>28.47</v>
          </cell>
          <cell r="F83">
            <v>0.9</v>
          </cell>
          <cell r="G83">
            <v>22.528571428571428</v>
          </cell>
          <cell r="H83">
            <v>22.458571428571428</v>
          </cell>
        </row>
        <row r="84">
          <cell r="B84">
            <v>37785</v>
          </cell>
          <cell r="C84">
            <v>23.5</v>
          </cell>
          <cell r="D84">
            <v>23.571428571428601</v>
          </cell>
          <cell r="E84">
            <v>28.87</v>
          </cell>
          <cell r="F84">
            <v>0.7</v>
          </cell>
          <cell r="G84">
            <v>22.3</v>
          </cell>
          <cell r="H84">
            <v>22.23</v>
          </cell>
        </row>
        <row r="85">
          <cell r="B85">
            <v>37788</v>
          </cell>
          <cell r="C85">
            <v>23.5</v>
          </cell>
          <cell r="D85">
            <v>23.285714285714285</v>
          </cell>
          <cell r="E85">
            <v>28.63</v>
          </cell>
          <cell r="F85">
            <v>0.7</v>
          </cell>
          <cell r="G85">
            <v>22.335714285714285</v>
          </cell>
          <cell r="H85">
            <v>22.265714285714285</v>
          </cell>
        </row>
        <row r="86">
          <cell r="B86">
            <v>37789</v>
          </cell>
          <cell r="C86">
            <v>23.5</v>
          </cell>
          <cell r="D86">
            <v>23.785714285714285</v>
          </cell>
          <cell r="E86">
            <v>27.21</v>
          </cell>
          <cell r="F86">
            <v>0.7</v>
          </cell>
          <cell r="G86">
            <v>22.085714285714285</v>
          </cell>
          <cell r="H86">
            <v>22.015714285714285</v>
          </cell>
        </row>
        <row r="87">
          <cell r="B87">
            <v>37790</v>
          </cell>
          <cell r="C87">
            <v>23.5</v>
          </cell>
          <cell r="D87">
            <v>24.214285714285715</v>
          </cell>
          <cell r="E87">
            <v>26.97</v>
          </cell>
          <cell r="F87">
            <v>0.5</v>
          </cell>
          <cell r="G87">
            <v>22.157142857142855</v>
          </cell>
          <cell r="H87">
            <v>22.087142857142855</v>
          </cell>
        </row>
        <row r="88">
          <cell r="B88">
            <v>37791</v>
          </cell>
          <cell r="C88">
            <v>23.2</v>
          </cell>
          <cell r="D88">
            <v>24</v>
          </cell>
          <cell r="E88">
            <v>26.55</v>
          </cell>
          <cell r="F88">
            <v>0.5</v>
          </cell>
          <cell r="G88">
            <v>22.478571428571428</v>
          </cell>
          <cell r="H88">
            <v>22.478571428571428</v>
          </cell>
        </row>
        <row r="89">
          <cell r="B89">
            <v>37792</v>
          </cell>
          <cell r="C89">
            <v>23</v>
          </cell>
          <cell r="D89">
            <v>24.142857142857142</v>
          </cell>
          <cell r="E89">
            <v>26.43</v>
          </cell>
          <cell r="F89">
            <v>0.5</v>
          </cell>
          <cell r="G89">
            <v>22.764285714285712</v>
          </cell>
          <cell r="H89">
            <v>22.764285714285712</v>
          </cell>
        </row>
        <row r="90">
          <cell r="B90">
            <v>37795</v>
          </cell>
          <cell r="C90">
            <v>23</v>
          </cell>
          <cell r="D90">
            <v>24.464285714285715</v>
          </cell>
          <cell r="E90">
            <v>27.37</v>
          </cell>
          <cell r="F90">
            <v>0.5</v>
          </cell>
          <cell r="G90">
            <v>22.157142857142855</v>
          </cell>
        </row>
        <row r="91">
          <cell r="B91">
            <v>37796</v>
          </cell>
          <cell r="D91">
            <v>24.428571428571399</v>
          </cell>
          <cell r="E91">
            <v>26.97</v>
          </cell>
        </row>
        <row r="92">
          <cell r="B92">
            <v>37797</v>
          </cell>
          <cell r="C92">
            <v>22.9</v>
          </cell>
          <cell r="D92">
            <v>24.25</v>
          </cell>
          <cell r="E92">
            <v>26.78</v>
          </cell>
          <cell r="F92">
            <v>0.4</v>
          </cell>
          <cell r="G92">
            <v>22.585714285714285</v>
          </cell>
          <cell r="H92">
            <v>22.585714285714285</v>
          </cell>
        </row>
        <row r="93">
          <cell r="B93">
            <v>37798</v>
          </cell>
          <cell r="C93">
            <v>23.2</v>
          </cell>
          <cell r="D93">
            <v>24.928571428571427</v>
          </cell>
          <cell r="E93">
            <v>27.64</v>
          </cell>
          <cell r="F93">
            <v>0.4</v>
          </cell>
          <cell r="G93">
            <v>23.192857142857143</v>
          </cell>
          <cell r="H93">
            <v>23.192857142857143</v>
          </cell>
        </row>
        <row r="94">
          <cell r="B94">
            <v>37799</v>
          </cell>
          <cell r="C94">
            <v>23.1</v>
          </cell>
          <cell r="E94">
            <v>26.69</v>
          </cell>
          <cell r="F94">
            <v>0.4</v>
          </cell>
          <cell r="G94">
            <v>23.05</v>
          </cell>
          <cell r="H94">
            <v>23.05</v>
          </cell>
        </row>
        <row r="95">
          <cell r="B95">
            <v>37802</v>
          </cell>
          <cell r="C95">
            <v>23.3</v>
          </cell>
          <cell r="D95">
            <v>24.785714285714285</v>
          </cell>
          <cell r="E95">
            <v>27.25</v>
          </cell>
          <cell r="F95">
            <v>0.4</v>
          </cell>
          <cell r="G95">
            <v>23.264285714285712</v>
          </cell>
          <cell r="H95">
            <v>23.264285714285712</v>
          </cell>
        </row>
        <row r="96">
          <cell r="B96">
            <v>37803</v>
          </cell>
          <cell r="C96">
            <v>23.6</v>
          </cell>
          <cell r="D96">
            <v>25.142857142857142</v>
          </cell>
          <cell r="E96">
            <v>28.45</v>
          </cell>
          <cell r="F96">
            <v>0.4</v>
          </cell>
          <cell r="G96">
            <v>23.835714285714285</v>
          </cell>
          <cell r="H96">
            <v>23.978571428571428</v>
          </cell>
        </row>
        <row r="97">
          <cell r="B97">
            <v>37804</v>
          </cell>
          <cell r="C97">
            <v>23.6</v>
          </cell>
          <cell r="F97">
            <v>0.4</v>
          </cell>
          <cell r="G97">
            <v>24.55</v>
          </cell>
          <cell r="H97">
            <v>24.55</v>
          </cell>
        </row>
        <row r="98">
          <cell r="B98">
            <v>37805</v>
          </cell>
          <cell r="C98">
            <v>23.7</v>
          </cell>
          <cell r="D98">
            <v>25.535714285714285</v>
          </cell>
          <cell r="E98">
            <v>28.16</v>
          </cell>
          <cell r="F98">
            <v>0.4</v>
          </cell>
          <cell r="G98">
            <v>24.657142857142855</v>
          </cell>
          <cell r="H98">
            <v>24.657142857142855</v>
          </cell>
        </row>
        <row r="99">
          <cell r="B99">
            <v>37806</v>
          </cell>
          <cell r="C99">
            <v>23.5</v>
          </cell>
          <cell r="D99">
            <v>25.785714285714285</v>
          </cell>
          <cell r="E99">
            <v>28.39</v>
          </cell>
          <cell r="F99">
            <v>0.4</v>
          </cell>
          <cell r="G99">
            <v>23.971428571428572</v>
          </cell>
          <cell r="H99">
            <v>23.971428571428572</v>
          </cell>
        </row>
        <row r="100">
          <cell r="B100">
            <v>37809</v>
          </cell>
          <cell r="C100">
            <v>23.5</v>
          </cell>
          <cell r="F100">
            <v>0.4</v>
          </cell>
          <cell r="G100">
            <v>23.935714285714287</v>
          </cell>
          <cell r="H100">
            <v>23.935714285714287</v>
          </cell>
        </row>
        <row r="101">
          <cell r="B101">
            <v>37810</v>
          </cell>
          <cell r="C101">
            <v>23.3</v>
          </cell>
          <cell r="D101">
            <v>24.892857142857142</v>
          </cell>
          <cell r="E101">
            <v>27.81</v>
          </cell>
          <cell r="F101">
            <v>0.5</v>
          </cell>
          <cell r="G101">
            <v>23.292857142857144</v>
          </cell>
          <cell r="H101">
            <v>23.292857142857144</v>
          </cell>
        </row>
        <row r="102">
          <cell r="B102">
            <v>37811</v>
          </cell>
          <cell r="C102">
            <v>23.3</v>
          </cell>
          <cell r="E102">
            <v>27.97</v>
          </cell>
          <cell r="F102">
            <v>0.5</v>
          </cell>
          <cell r="G102">
            <v>23.792857142857144</v>
          </cell>
        </row>
        <row r="103">
          <cell r="B103">
            <v>37812</v>
          </cell>
          <cell r="C103">
            <v>23.3</v>
          </cell>
          <cell r="D103">
            <v>25.607142857142858</v>
          </cell>
          <cell r="E103">
            <v>28.59</v>
          </cell>
          <cell r="F103">
            <v>0.5</v>
          </cell>
          <cell r="G103">
            <v>24.292857142857144</v>
          </cell>
          <cell r="H103">
            <v>24.292857142857144</v>
          </cell>
        </row>
        <row r="104">
          <cell r="B104">
            <v>37813</v>
          </cell>
          <cell r="C104">
            <v>23.6</v>
          </cell>
          <cell r="D104">
            <v>25.642857142857142</v>
          </cell>
          <cell r="E104">
            <v>28.6</v>
          </cell>
          <cell r="F104">
            <v>0.6</v>
          </cell>
          <cell r="G104">
            <v>24.435714285714287</v>
          </cell>
          <cell r="H104">
            <v>24.435714285714287</v>
          </cell>
        </row>
        <row r="105">
          <cell r="B105">
            <v>37816</v>
          </cell>
          <cell r="C105">
            <v>23.8</v>
          </cell>
          <cell r="D105">
            <v>25.892857142857142</v>
          </cell>
          <cell r="E105">
            <v>28.88</v>
          </cell>
          <cell r="F105">
            <v>0.6</v>
          </cell>
          <cell r="G105">
            <v>24.721428571428572</v>
          </cell>
          <cell r="H105">
            <v>24.721428571428572</v>
          </cell>
        </row>
        <row r="106">
          <cell r="B106">
            <v>37817</v>
          </cell>
          <cell r="C106">
            <v>23.8</v>
          </cell>
          <cell r="D106">
            <v>26</v>
          </cell>
          <cell r="E106">
            <v>29.05</v>
          </cell>
          <cell r="F106">
            <v>0.6</v>
          </cell>
          <cell r="G106">
            <v>24.578571428571429</v>
          </cell>
          <cell r="H106">
            <v>24.578571428571429</v>
          </cell>
        </row>
        <row r="107">
          <cell r="B107">
            <v>37818</v>
          </cell>
          <cell r="C107">
            <v>23.8</v>
          </cell>
          <cell r="F107">
            <v>0.6</v>
          </cell>
          <cell r="G107">
            <v>24.435714285714287</v>
          </cell>
          <cell r="H107">
            <v>24.435714285714287</v>
          </cell>
        </row>
        <row r="109">
          <cell r="B109">
            <v>37819</v>
          </cell>
          <cell r="C109">
            <v>23.8</v>
          </cell>
          <cell r="D109">
            <v>25.714285714285715</v>
          </cell>
          <cell r="E109">
            <v>28.53</v>
          </cell>
          <cell r="F109">
            <v>0.6</v>
          </cell>
          <cell r="G109">
            <v>24.292857142857144</v>
          </cell>
          <cell r="H109">
            <v>24.292857142857144</v>
          </cell>
        </row>
        <row r="110">
          <cell r="B110">
            <v>37820</v>
          </cell>
          <cell r="C110">
            <v>23.8</v>
          </cell>
          <cell r="D110">
            <v>25.607142857142858</v>
          </cell>
          <cell r="E110">
            <v>28.83</v>
          </cell>
          <cell r="F110">
            <v>0.6</v>
          </cell>
          <cell r="G110">
            <v>24.221428571428572</v>
          </cell>
          <cell r="H110">
            <v>24.221428571428572</v>
          </cell>
        </row>
        <row r="111">
          <cell r="B111">
            <v>37823</v>
          </cell>
          <cell r="C111">
            <v>23.9</v>
          </cell>
          <cell r="D111">
            <v>25.25</v>
          </cell>
          <cell r="E111">
            <v>29.19</v>
          </cell>
          <cell r="F111">
            <v>0.6</v>
          </cell>
          <cell r="G111">
            <v>23.971428571428572</v>
          </cell>
          <cell r="H111">
            <v>23.971428571428572</v>
          </cell>
        </row>
        <row r="112">
          <cell r="B112">
            <v>37824</v>
          </cell>
          <cell r="C112">
            <v>23.6</v>
          </cell>
          <cell r="E112">
            <v>28.98</v>
          </cell>
          <cell r="F112">
            <v>0.6</v>
          </cell>
          <cell r="G112">
            <v>23.50714285714286</v>
          </cell>
          <cell r="H112">
            <v>23.50714285714286</v>
          </cell>
        </row>
        <row r="113">
          <cell r="B113">
            <v>37825</v>
          </cell>
          <cell r="C113">
            <v>23.1</v>
          </cell>
          <cell r="E113">
            <v>27.63</v>
          </cell>
          <cell r="F113">
            <v>0.6</v>
          </cell>
          <cell r="G113">
            <v>23.078571428571429</v>
          </cell>
          <cell r="H113">
            <v>23.078571428571429</v>
          </cell>
        </row>
        <row r="114">
          <cell r="B114">
            <v>37826</v>
          </cell>
          <cell r="C114">
            <v>23.1</v>
          </cell>
          <cell r="D114">
            <v>24.392857142857142</v>
          </cell>
          <cell r="E114">
            <v>27.89</v>
          </cell>
          <cell r="F114">
            <v>0.6</v>
          </cell>
          <cell r="G114">
            <v>23.364285714285717</v>
          </cell>
          <cell r="H114">
            <v>23.364285714285717</v>
          </cell>
        </row>
        <row r="115">
          <cell r="B115">
            <v>37827</v>
          </cell>
          <cell r="C115">
            <v>23.1</v>
          </cell>
          <cell r="D115">
            <v>24.535714285714285</v>
          </cell>
          <cell r="E115">
            <v>28.31</v>
          </cell>
          <cell r="F115">
            <v>0.6</v>
          </cell>
          <cell r="G115">
            <v>23.292857142857144</v>
          </cell>
          <cell r="H115">
            <v>23.292857142857144</v>
          </cell>
        </row>
        <row r="116">
          <cell r="B116">
            <v>37830</v>
          </cell>
          <cell r="C116">
            <v>23.1</v>
          </cell>
          <cell r="D116">
            <v>24.178571428571427</v>
          </cell>
          <cell r="E116">
            <v>28.32</v>
          </cell>
          <cell r="F116">
            <v>0.6</v>
          </cell>
          <cell r="G116">
            <v>22.721428571428572</v>
          </cell>
          <cell r="H116">
            <v>22.721428571428572</v>
          </cell>
        </row>
        <row r="117">
          <cell r="B117">
            <v>37831</v>
          </cell>
          <cell r="C117">
            <v>23</v>
          </cell>
          <cell r="E117">
            <v>27.87</v>
          </cell>
          <cell r="F117">
            <v>0.6</v>
          </cell>
          <cell r="G117">
            <v>22.721428571428572</v>
          </cell>
          <cell r="H117">
            <v>22.721428571428572</v>
          </cell>
        </row>
        <row r="118">
          <cell r="B118">
            <v>37832</v>
          </cell>
          <cell r="C118">
            <v>23</v>
          </cell>
          <cell r="D118">
            <v>24.035714285714285</v>
          </cell>
          <cell r="F118">
            <v>0.6</v>
          </cell>
          <cell r="G118">
            <v>23.078571428571429</v>
          </cell>
          <cell r="H118">
            <v>23.078571428571429</v>
          </cell>
        </row>
        <row r="119">
          <cell r="B119">
            <v>37833</v>
          </cell>
          <cell r="C119">
            <v>22.9</v>
          </cell>
          <cell r="D119">
            <v>24.5</v>
          </cell>
          <cell r="E119">
            <v>28.58</v>
          </cell>
          <cell r="F119">
            <v>0.2</v>
          </cell>
          <cell r="G119">
            <v>23.185714285714287</v>
          </cell>
          <cell r="H119">
            <v>23.185714285714287</v>
          </cell>
        </row>
        <row r="120">
          <cell r="B120">
            <v>37834</v>
          </cell>
          <cell r="C120">
            <v>22.9</v>
          </cell>
          <cell r="D120">
            <v>24.214285714285715</v>
          </cell>
          <cell r="E120">
            <v>28.48</v>
          </cell>
          <cell r="F120">
            <v>0.2</v>
          </cell>
          <cell r="G120">
            <v>23.035714285714285</v>
          </cell>
          <cell r="H120">
            <v>23.035714285714285</v>
          </cell>
        </row>
        <row r="121">
          <cell r="B121">
            <v>37837</v>
          </cell>
          <cell r="C121">
            <v>23.2</v>
          </cell>
          <cell r="F121">
            <v>0.2</v>
          </cell>
          <cell r="G121">
            <v>23.107142857142858</v>
          </cell>
          <cell r="H121">
            <v>23.107142857142858</v>
          </cell>
        </row>
        <row r="122">
          <cell r="B122">
            <v>37838</v>
          </cell>
          <cell r="C122">
            <v>23.2</v>
          </cell>
          <cell r="D122">
            <v>24.5</v>
          </cell>
          <cell r="E122">
            <v>29.88</v>
          </cell>
          <cell r="F122">
            <v>0.3</v>
          </cell>
          <cell r="G122">
            <v>22.642857142857142</v>
          </cell>
          <cell r="H122">
            <v>22.642857142857142</v>
          </cell>
        </row>
        <row r="123">
          <cell r="B123">
            <v>37839</v>
          </cell>
          <cell r="C123">
            <v>23.5</v>
          </cell>
          <cell r="D123">
            <v>24.571428571428573</v>
          </cell>
          <cell r="F123">
            <v>0.4</v>
          </cell>
          <cell r="G123">
            <v>23.214285714285715</v>
          </cell>
          <cell r="H123">
            <v>23.214285714285715</v>
          </cell>
        </row>
        <row r="124">
          <cell r="B124">
            <v>37840</v>
          </cell>
          <cell r="C124">
            <v>23.4</v>
          </cell>
          <cell r="D124">
            <v>24.428571428571399</v>
          </cell>
          <cell r="E124">
            <v>29.75</v>
          </cell>
          <cell r="F124">
            <v>0.4</v>
          </cell>
          <cell r="G124">
            <v>23</v>
          </cell>
          <cell r="H124">
            <v>23</v>
          </cell>
        </row>
        <row r="125">
          <cell r="B125">
            <v>37841</v>
          </cell>
          <cell r="C125">
            <v>23.6</v>
          </cell>
          <cell r="D125">
            <v>25</v>
          </cell>
          <cell r="E125">
            <v>30.92</v>
          </cell>
          <cell r="F125">
            <v>0.4</v>
          </cell>
          <cell r="G125">
            <v>22.849999999999998</v>
          </cell>
          <cell r="H125">
            <v>23.24285714285714</v>
          </cell>
        </row>
        <row r="126">
          <cell r="B126">
            <v>37844</v>
          </cell>
          <cell r="C126">
            <v>23.5</v>
          </cell>
          <cell r="D126">
            <v>24.928571428571427</v>
          </cell>
          <cell r="F126">
            <v>0.4</v>
          </cell>
          <cell r="G126">
            <v>23.24285714285714</v>
          </cell>
          <cell r="H126">
            <v>22.849999999999998</v>
          </cell>
        </row>
        <row r="127">
          <cell r="B127">
            <v>37845</v>
          </cell>
          <cell r="C127">
            <v>23.3</v>
          </cell>
          <cell r="D127">
            <v>24.678571428571427</v>
          </cell>
          <cell r="F127">
            <v>0.5</v>
          </cell>
          <cell r="G127">
            <v>22.74285714285714</v>
          </cell>
          <cell r="H127">
            <v>22.74285714285714</v>
          </cell>
        </row>
        <row r="128">
          <cell r="B128">
            <v>37846</v>
          </cell>
          <cell r="C128">
            <v>23.3</v>
          </cell>
          <cell r="D128">
            <v>24.571428571428601</v>
          </cell>
          <cell r="E128">
            <v>30.11</v>
          </cell>
          <cell r="F128">
            <v>0.5</v>
          </cell>
          <cell r="G128">
            <v>22.814285714285713</v>
          </cell>
          <cell r="H128">
            <v>22.671428571428571</v>
          </cell>
        </row>
        <row r="129">
          <cell r="B129">
            <v>37847</v>
          </cell>
          <cell r="C129">
            <v>23</v>
          </cell>
          <cell r="D129">
            <v>23.821428571428573</v>
          </cell>
          <cell r="E129">
            <v>29.56</v>
          </cell>
          <cell r="F129">
            <v>0.5</v>
          </cell>
          <cell r="G129">
            <v>22.335714285714285</v>
          </cell>
          <cell r="H129">
            <v>22.335714285714285</v>
          </cell>
        </row>
        <row r="130">
          <cell r="B130">
            <v>37848</v>
          </cell>
          <cell r="C130">
            <v>23</v>
          </cell>
          <cell r="D130">
            <v>24.071428571428573</v>
          </cell>
          <cell r="F130">
            <v>0.5</v>
          </cell>
          <cell r="G130">
            <v>22.55</v>
          </cell>
          <cell r="H130">
            <v>22.55</v>
          </cell>
        </row>
        <row r="131">
          <cell r="B131">
            <v>37851</v>
          </cell>
          <cell r="C131">
            <v>23</v>
          </cell>
          <cell r="D131">
            <v>23.678571428571427</v>
          </cell>
          <cell r="E131">
            <v>29.28</v>
          </cell>
          <cell r="F131">
            <v>0.5</v>
          </cell>
          <cell r="G131">
            <v>22.478571428571428</v>
          </cell>
          <cell r="H131">
            <v>22.478571428571428</v>
          </cell>
        </row>
        <row r="132">
          <cell r="B132">
            <v>37852</v>
          </cell>
          <cell r="C132">
            <v>22.9</v>
          </cell>
          <cell r="E132">
            <v>29.07</v>
          </cell>
          <cell r="F132">
            <v>0.5</v>
          </cell>
          <cell r="G132">
            <v>22.192857142857143</v>
          </cell>
          <cell r="H132">
            <v>22.192857142857143</v>
          </cell>
        </row>
        <row r="133">
          <cell r="B133">
            <v>37853</v>
          </cell>
          <cell r="D133">
            <v>23.678571428571427</v>
          </cell>
          <cell r="E133">
            <v>28.92</v>
          </cell>
          <cell r="H133">
            <v>21.728571428571428</v>
          </cell>
        </row>
        <row r="134">
          <cell r="B134">
            <v>37854</v>
          </cell>
          <cell r="C134">
            <v>23</v>
          </cell>
          <cell r="D134">
            <v>23.357142857142858</v>
          </cell>
          <cell r="F134">
            <v>0.5</v>
          </cell>
          <cell r="G134">
            <v>21.764285714285712</v>
          </cell>
          <cell r="H134">
            <v>21.764285714285712</v>
          </cell>
        </row>
        <row r="135">
          <cell r="B135">
            <v>37855</v>
          </cell>
          <cell r="C135">
            <v>23.1</v>
          </cell>
          <cell r="D135">
            <v>23.57</v>
          </cell>
          <cell r="E135">
            <v>30.01</v>
          </cell>
          <cell r="F135">
            <v>0.5</v>
          </cell>
          <cell r="G135">
            <v>22.114285714285717</v>
          </cell>
          <cell r="H135">
            <v>22.114285714285717</v>
          </cell>
        </row>
        <row r="136">
          <cell r="B136">
            <v>37858</v>
          </cell>
          <cell r="C136">
            <v>23.1</v>
          </cell>
          <cell r="D136">
            <v>23.607142857142858</v>
          </cell>
          <cell r="E136">
            <v>30.12</v>
          </cell>
          <cell r="F136">
            <v>0.5</v>
          </cell>
          <cell r="G136">
            <v>22.364285714285717</v>
          </cell>
          <cell r="H136">
            <v>22.364285714285717</v>
          </cell>
        </row>
        <row r="137">
          <cell r="B137">
            <v>37859</v>
          </cell>
          <cell r="C137">
            <v>23.1</v>
          </cell>
          <cell r="D137">
            <v>23.642857142857142</v>
          </cell>
          <cell r="E137">
            <v>30.26</v>
          </cell>
          <cell r="F137">
            <v>0.5</v>
          </cell>
          <cell r="G137">
            <v>22.185714285714287</v>
          </cell>
          <cell r="H137">
            <v>22.185714285714287</v>
          </cell>
        </row>
        <row r="138">
          <cell r="B138">
            <v>37860</v>
          </cell>
          <cell r="C138">
            <v>23.7</v>
          </cell>
          <cell r="E138">
            <v>29.72</v>
          </cell>
          <cell r="F138">
            <v>0.5</v>
          </cell>
          <cell r="G138">
            <v>22.150000000000002</v>
          </cell>
          <cell r="H138">
            <v>22.150000000000002</v>
          </cell>
        </row>
        <row r="139">
          <cell r="B139">
            <v>37861</v>
          </cell>
          <cell r="C139">
            <v>23.6</v>
          </cell>
          <cell r="D139">
            <v>23.428571428571399</v>
          </cell>
          <cell r="E139">
            <v>29.72</v>
          </cell>
          <cell r="F139">
            <v>0.5</v>
          </cell>
          <cell r="G139">
            <v>22.185714285714287</v>
          </cell>
          <cell r="H139">
            <v>22.185714285714287</v>
          </cell>
        </row>
        <row r="140">
          <cell r="B140">
            <v>37862</v>
          </cell>
          <cell r="C140">
            <v>23.7</v>
          </cell>
          <cell r="D140">
            <v>24.071428571428573</v>
          </cell>
          <cell r="E140">
            <v>29.97</v>
          </cell>
          <cell r="F140">
            <v>0.6</v>
          </cell>
          <cell r="G140">
            <v>22.278571428571428</v>
          </cell>
          <cell r="H140">
            <v>22.278571428571428</v>
          </cell>
        </row>
        <row r="141">
          <cell r="B141">
            <v>37865</v>
          </cell>
          <cell r="C141">
            <v>23.7</v>
          </cell>
          <cell r="D141">
            <v>23.785714285714285</v>
          </cell>
          <cell r="E141">
            <v>30.01</v>
          </cell>
          <cell r="F141">
            <v>0.6</v>
          </cell>
          <cell r="H141">
            <v>22.349999999999998</v>
          </cell>
        </row>
        <row r="142">
          <cell r="B142">
            <v>37866</v>
          </cell>
          <cell r="C142">
            <v>23.6</v>
          </cell>
          <cell r="E142">
            <v>29.62</v>
          </cell>
          <cell r="F142">
            <v>0.6</v>
          </cell>
          <cell r="G142">
            <v>23.592857142857145</v>
          </cell>
          <cell r="H142">
            <v>22.349999999999998</v>
          </cell>
        </row>
        <row r="143">
          <cell r="B143">
            <v>37867</v>
          </cell>
          <cell r="C143">
            <v>23.2</v>
          </cell>
          <cell r="D143">
            <v>23.142857142857142</v>
          </cell>
          <cell r="E143">
            <v>27.84</v>
          </cell>
          <cell r="F143">
            <v>0.6</v>
          </cell>
          <cell r="G143">
            <v>23.035714285714285</v>
          </cell>
          <cell r="H143">
            <v>21.707142857142856</v>
          </cell>
        </row>
        <row r="144">
          <cell r="B144">
            <v>37868</v>
          </cell>
          <cell r="C144">
            <v>23.1</v>
          </cell>
          <cell r="D144">
            <v>23.071428571428573</v>
          </cell>
          <cell r="E144">
            <v>27.95</v>
          </cell>
          <cell r="F144">
            <v>0.6</v>
          </cell>
          <cell r="G144">
            <v>22.821428571428573</v>
          </cell>
          <cell r="H144">
            <v>21.778571428571428</v>
          </cell>
        </row>
        <row r="145">
          <cell r="B145">
            <v>37869</v>
          </cell>
          <cell r="C145">
            <v>22.8</v>
          </cell>
          <cell r="E145">
            <v>27.61</v>
          </cell>
          <cell r="F145">
            <v>0.8</v>
          </cell>
          <cell r="G145">
            <v>22.571428571428573</v>
          </cell>
          <cell r="H145">
            <v>21.24285714285714</v>
          </cell>
        </row>
        <row r="146">
          <cell r="B146">
            <v>37872</v>
          </cell>
          <cell r="C146">
            <v>22.8</v>
          </cell>
          <cell r="E146">
            <v>27.55</v>
          </cell>
          <cell r="F146">
            <v>0.8</v>
          </cell>
          <cell r="G146">
            <v>22.678571428571427</v>
          </cell>
          <cell r="H146">
            <v>21.349999999999998</v>
          </cell>
        </row>
        <row r="147">
          <cell r="B147">
            <v>37873</v>
          </cell>
          <cell r="C147">
            <v>22.8</v>
          </cell>
          <cell r="E147">
            <v>27.5</v>
          </cell>
          <cell r="F147">
            <v>0.8</v>
          </cell>
          <cell r="G147">
            <v>22.821428571428573</v>
          </cell>
          <cell r="H147">
            <v>21.49285714285714</v>
          </cell>
        </row>
        <row r="148">
          <cell r="B148">
            <v>37874</v>
          </cell>
          <cell r="C148">
            <v>23</v>
          </cell>
          <cell r="D148">
            <v>22.892857142857142</v>
          </cell>
          <cell r="E148">
            <v>27.57</v>
          </cell>
          <cell r="F148">
            <v>0.8</v>
          </cell>
          <cell r="G148">
            <v>23.035714285714285</v>
          </cell>
          <cell r="H148">
            <v>21.707142857142856</v>
          </cell>
        </row>
        <row r="149">
          <cell r="B149">
            <v>37875</v>
          </cell>
          <cell r="C149">
            <v>23</v>
          </cell>
          <cell r="D149">
            <v>23.285714285714285</v>
          </cell>
          <cell r="E149">
            <v>27.78</v>
          </cell>
          <cell r="F149">
            <v>0.8</v>
          </cell>
          <cell r="G149">
            <v>23.178571428571427</v>
          </cell>
          <cell r="H149">
            <v>21.849999999999998</v>
          </cell>
        </row>
        <row r="150">
          <cell r="B150">
            <v>37876</v>
          </cell>
          <cell r="C150">
            <v>23</v>
          </cell>
          <cell r="D150">
            <v>22.928571428571427</v>
          </cell>
          <cell r="E150">
            <v>27.25</v>
          </cell>
          <cell r="F150">
            <v>1</v>
          </cell>
          <cell r="G150">
            <v>22.964285714285715</v>
          </cell>
          <cell r="H150">
            <v>21.585714285714285</v>
          </cell>
        </row>
        <row r="151">
          <cell r="B151">
            <v>37879</v>
          </cell>
          <cell r="C151">
            <v>22.9</v>
          </cell>
          <cell r="D151">
            <v>22.785714285714285</v>
          </cell>
          <cell r="E151">
            <v>26.68</v>
          </cell>
          <cell r="F151">
            <v>1</v>
          </cell>
        </row>
        <row r="152">
          <cell r="B152">
            <v>37880</v>
          </cell>
          <cell r="C152">
            <v>22.9</v>
          </cell>
          <cell r="D152">
            <v>22.785714285714285</v>
          </cell>
          <cell r="E152">
            <v>26.78</v>
          </cell>
          <cell r="F152">
            <v>1</v>
          </cell>
          <cell r="H152">
            <v>21.407142857142855</v>
          </cell>
        </row>
        <row r="153">
          <cell r="B153">
            <v>37881</v>
          </cell>
          <cell r="C153">
            <v>22.8</v>
          </cell>
          <cell r="E153">
            <v>26.28</v>
          </cell>
          <cell r="F153">
            <v>1</v>
          </cell>
          <cell r="H153">
            <v>20.978571428571428</v>
          </cell>
        </row>
        <row r="154">
          <cell r="B154">
            <v>37882</v>
          </cell>
          <cell r="C154">
            <v>22.8</v>
          </cell>
          <cell r="D154">
            <v>22.357142857142858</v>
          </cell>
          <cell r="E154">
            <v>25.73</v>
          </cell>
          <cell r="F154">
            <v>1</v>
          </cell>
          <cell r="H154">
            <v>20.62142857142857</v>
          </cell>
        </row>
        <row r="155">
          <cell r="B155">
            <v>37883</v>
          </cell>
          <cell r="C155">
            <v>22.8</v>
          </cell>
          <cell r="F155">
            <v>1</v>
          </cell>
          <cell r="H155">
            <v>20.692857142857143</v>
          </cell>
        </row>
        <row r="156">
          <cell r="B156">
            <v>37886</v>
          </cell>
          <cell r="C156">
            <v>22.6</v>
          </cell>
          <cell r="D156">
            <v>22.107142857142858</v>
          </cell>
          <cell r="E156">
            <v>25.49</v>
          </cell>
          <cell r="F156">
            <v>1</v>
          </cell>
          <cell r="H156">
            <v>20.335714285714285</v>
          </cell>
        </row>
        <row r="157">
          <cell r="B157">
            <v>37888</v>
          </cell>
          <cell r="C157">
            <v>22.8</v>
          </cell>
          <cell r="D157">
            <v>22.107142857142858</v>
          </cell>
          <cell r="E157">
            <v>25.67</v>
          </cell>
          <cell r="F157">
            <v>1</v>
          </cell>
          <cell r="H157">
            <v>20.478571428571428</v>
          </cell>
        </row>
        <row r="158">
          <cell r="B158">
            <v>37889</v>
          </cell>
          <cell r="C158">
            <v>23.8</v>
          </cell>
          <cell r="D158">
            <v>22.75</v>
          </cell>
          <cell r="E158">
            <v>26.88</v>
          </cell>
          <cell r="F158">
            <v>0.8</v>
          </cell>
          <cell r="H158">
            <v>21.271428571428572</v>
          </cell>
        </row>
        <row r="159">
          <cell r="B159">
            <v>37890</v>
          </cell>
          <cell r="C159">
            <v>23.6</v>
          </cell>
          <cell r="F159">
            <v>1</v>
          </cell>
          <cell r="H159">
            <v>20.900000000000002</v>
          </cell>
        </row>
        <row r="160">
          <cell r="B160">
            <v>37893</v>
          </cell>
          <cell r="C160">
            <v>23.9</v>
          </cell>
          <cell r="D160">
            <v>22.857142857142858</v>
          </cell>
          <cell r="F160">
            <v>1</v>
          </cell>
          <cell r="H160">
            <v>21.292857142857144</v>
          </cell>
        </row>
        <row r="161">
          <cell r="B161">
            <v>37894</v>
          </cell>
          <cell r="C161">
            <v>24</v>
          </cell>
          <cell r="D161">
            <v>23.071428571428573</v>
          </cell>
          <cell r="F161">
            <v>1</v>
          </cell>
          <cell r="H161">
            <v>21.542857142857144</v>
          </cell>
        </row>
        <row r="162">
          <cell r="B162">
            <v>37895</v>
          </cell>
          <cell r="C162">
            <v>24.2</v>
          </cell>
          <cell r="D162">
            <v>23.428571428571427</v>
          </cell>
          <cell r="E162">
            <v>28.26</v>
          </cell>
          <cell r="F162">
            <v>1</v>
          </cell>
          <cell r="H162">
            <v>21.971428571428572</v>
          </cell>
        </row>
        <row r="163">
          <cell r="B163">
            <v>37896</v>
          </cell>
          <cell r="C163">
            <v>24.5</v>
          </cell>
          <cell r="D163">
            <v>23.821428571428573</v>
          </cell>
          <cell r="F163">
            <v>1.2</v>
          </cell>
          <cell r="H163">
            <v>22.364285714285717</v>
          </cell>
        </row>
        <row r="164">
          <cell r="B164">
            <v>37897</v>
          </cell>
          <cell r="C164">
            <v>24.8</v>
          </cell>
          <cell r="E164">
            <v>28.86</v>
          </cell>
          <cell r="F164">
            <v>1.2</v>
          </cell>
          <cell r="H164">
            <v>22.142857142857142</v>
          </cell>
        </row>
        <row r="165">
          <cell r="B165">
            <v>37900</v>
          </cell>
          <cell r="C165">
            <v>25.1</v>
          </cell>
          <cell r="D165">
            <v>24.428571428571427</v>
          </cell>
          <cell r="E165">
            <v>29.29</v>
          </cell>
          <cell r="F165">
            <v>1.3</v>
          </cell>
          <cell r="H165">
            <v>22.821428571428573</v>
          </cell>
        </row>
        <row r="166">
          <cell r="B166">
            <v>37901</v>
          </cell>
          <cell r="C166">
            <v>24.9</v>
          </cell>
          <cell r="D166">
            <v>24.214285714285715</v>
          </cell>
          <cell r="E166">
            <v>29.5</v>
          </cell>
          <cell r="F166">
            <v>1.3</v>
          </cell>
          <cell r="H166">
            <v>22.357142857142858</v>
          </cell>
        </row>
        <row r="167">
          <cell r="B167">
            <v>37902</v>
          </cell>
          <cell r="C167">
            <v>24.9</v>
          </cell>
          <cell r="D167">
            <v>24.071428571428573</v>
          </cell>
          <cell r="E167">
            <v>29.63</v>
          </cell>
          <cell r="F167">
            <v>1.3</v>
          </cell>
          <cell r="H167">
            <v>22.178571428571427</v>
          </cell>
        </row>
        <row r="168">
          <cell r="B168">
            <v>37903</v>
          </cell>
          <cell r="C168">
            <v>24.7</v>
          </cell>
          <cell r="D168">
            <v>23.535714285714285</v>
          </cell>
          <cell r="E168">
            <v>29.13</v>
          </cell>
          <cell r="F168">
            <v>1.3</v>
          </cell>
          <cell r="H168">
            <v>22.035714285714285</v>
          </cell>
        </row>
        <row r="169">
          <cell r="B169">
            <v>37904</v>
          </cell>
          <cell r="C169">
            <v>25.6</v>
          </cell>
          <cell r="D169">
            <v>24.428571428571427</v>
          </cell>
          <cell r="E169">
            <v>30.41</v>
          </cell>
          <cell r="F169">
            <v>1.3</v>
          </cell>
          <cell r="H169">
            <v>22.650000000000002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INPUT"/>
      <sheetName val="PJT검색"/>
      <sheetName val="PJT_LIST"/>
      <sheetName val="사양비교표"/>
      <sheetName val="끝"/>
    </sheetNames>
    <sheetDataSet>
      <sheetData sheetId="0" refreshError="1"/>
      <sheetData sheetId="1" refreshError="1">
        <row r="4">
          <cell r="E4" t="str">
            <v>T01019B</v>
          </cell>
        </row>
        <row r="5">
          <cell r="E5" t="str">
            <v>GE</v>
          </cell>
        </row>
        <row r="6">
          <cell r="E6">
            <v>37117</v>
          </cell>
        </row>
        <row r="7">
          <cell r="E7" t="str">
            <v>GE 7FB</v>
          </cell>
        </row>
        <row r="8">
          <cell r="E8" t="str">
            <v>170MW X 3</v>
          </cell>
        </row>
        <row r="9">
          <cell r="E9" t="str">
            <v>240MW X 1</v>
          </cell>
        </row>
        <row r="10">
          <cell r="E10" t="str">
            <v>HT</v>
          </cell>
        </row>
        <row r="11">
          <cell r="E11" t="str">
            <v>김진일</v>
          </cell>
        </row>
        <row r="12">
          <cell r="E12" t="str">
            <v>NG</v>
          </cell>
          <cell r="G12" t="str">
            <v>NG</v>
          </cell>
        </row>
        <row r="13">
          <cell r="E13">
            <v>452.72</v>
          </cell>
          <cell r="G13">
            <v>3593072.0390400002</v>
          </cell>
        </row>
        <row r="14">
          <cell r="E14">
            <v>626.66999999999996</v>
          </cell>
          <cell r="G14">
            <v>1160.0059999999999</v>
          </cell>
        </row>
        <row r="15">
          <cell r="E15">
            <v>74.44</v>
          </cell>
          <cell r="G15">
            <v>165.99199999999999</v>
          </cell>
        </row>
        <row r="16">
          <cell r="E16">
            <v>15</v>
          </cell>
          <cell r="G16">
            <v>59</v>
          </cell>
        </row>
        <row r="17">
          <cell r="E17">
            <v>42.35</v>
          </cell>
          <cell r="G17">
            <v>17.000560500000002</v>
          </cell>
        </row>
        <row r="18">
          <cell r="E18">
            <v>701.67</v>
          </cell>
          <cell r="G18">
            <v>1295.0059999999999</v>
          </cell>
        </row>
        <row r="19">
          <cell r="E19">
            <v>67.11</v>
          </cell>
          <cell r="G19">
            <v>228.98871539999999</v>
          </cell>
        </row>
        <row r="20">
          <cell r="E20">
            <v>80.86</v>
          </cell>
          <cell r="G20">
            <v>641756.06351999997</v>
          </cell>
        </row>
        <row r="21">
          <cell r="E21">
            <v>566.66999999999996</v>
          </cell>
          <cell r="G21">
            <v>1052.0059999999999</v>
          </cell>
        </row>
        <row r="22">
          <cell r="E22">
            <v>136.22</v>
          </cell>
          <cell r="G22">
            <v>1961.0116660000001</v>
          </cell>
        </row>
        <row r="23">
          <cell r="E23">
            <v>85.27</v>
          </cell>
          <cell r="G23">
            <v>676756.61063999997</v>
          </cell>
        </row>
        <row r="24">
          <cell r="E24">
            <v>566.66999999999996</v>
          </cell>
          <cell r="G24">
            <v>1052.0059999999999</v>
          </cell>
        </row>
        <row r="25">
          <cell r="E25">
            <v>36.450000000000003</v>
          </cell>
          <cell r="G25">
            <v>513.9675400000001</v>
          </cell>
        </row>
        <row r="26">
          <cell r="E26">
            <v>3.89</v>
          </cell>
          <cell r="G26">
            <v>30873.498479999998</v>
          </cell>
        </row>
        <row r="27">
          <cell r="E27">
            <v>332.78</v>
          </cell>
          <cell r="G27">
            <v>631.00400000000002</v>
          </cell>
        </row>
        <row r="28">
          <cell r="E28">
            <v>39.97</v>
          </cell>
          <cell r="G28">
            <v>565.02091599999994</v>
          </cell>
        </row>
        <row r="29">
          <cell r="E29">
            <v>4.8499999999999996</v>
          </cell>
          <cell r="G29">
            <v>38492.665199999996</v>
          </cell>
        </row>
        <row r="30">
          <cell r="E30">
            <v>166.67</v>
          </cell>
          <cell r="G30">
            <v>332.00599999999997</v>
          </cell>
        </row>
        <row r="31">
          <cell r="E31">
            <v>7.36</v>
          </cell>
          <cell r="G31">
            <v>92.051997999999998</v>
          </cell>
        </row>
        <row r="32">
          <cell r="E32">
            <v>50</v>
          </cell>
          <cell r="G32">
            <v>122</v>
          </cell>
        </row>
        <row r="33">
          <cell r="E33">
            <v>38.33</v>
          </cell>
          <cell r="G33">
            <v>100.994</v>
          </cell>
        </row>
        <row r="34">
          <cell r="E34">
            <v>157.38999999999999</v>
          </cell>
          <cell r="G34">
            <v>2268.0571119999995</v>
          </cell>
        </row>
        <row r="35">
          <cell r="E35">
            <v>236.06</v>
          </cell>
          <cell r="G35">
            <v>3409.071058</v>
          </cell>
        </row>
        <row r="36">
          <cell r="E36">
            <v>38.869999999999997</v>
          </cell>
          <cell r="G36">
            <v>549.06673599999999</v>
          </cell>
        </row>
        <row r="37">
          <cell r="E37">
            <v>46.04</v>
          </cell>
          <cell r="G37">
            <v>653.05898200000001</v>
          </cell>
        </row>
        <row r="38">
          <cell r="E38">
            <v>96.71</v>
          </cell>
          <cell r="G38">
            <v>1387.9665279999999</v>
          </cell>
        </row>
        <row r="39">
          <cell r="E39">
            <v>9.36</v>
          </cell>
          <cell r="G39">
            <v>121.05959799999998</v>
          </cell>
        </row>
        <row r="40">
          <cell r="E40">
            <v>37.49</v>
          </cell>
          <cell r="G40">
            <v>529.05149200000005</v>
          </cell>
        </row>
        <row r="41">
          <cell r="E41">
            <v>14</v>
          </cell>
          <cell r="G41">
            <v>14</v>
          </cell>
        </row>
        <row r="42">
          <cell r="E42">
            <v>2</v>
          </cell>
          <cell r="G42">
            <v>2</v>
          </cell>
        </row>
        <row r="43">
          <cell r="E43">
            <v>18.7</v>
          </cell>
          <cell r="G43">
            <v>61.351707999999995</v>
          </cell>
        </row>
        <row r="44">
          <cell r="E44">
            <v>7460</v>
          </cell>
          <cell r="G44">
            <v>24475.0664</v>
          </cell>
        </row>
        <row r="45">
          <cell r="E45">
            <v>28.210999999999999</v>
          </cell>
          <cell r="G45">
            <v>92.555777239999998</v>
          </cell>
        </row>
        <row r="46">
          <cell r="E46">
            <v>84</v>
          </cell>
          <cell r="G46">
            <v>84</v>
          </cell>
        </row>
        <row r="47">
          <cell r="E47">
            <v>89</v>
          </cell>
          <cell r="G47">
            <v>89</v>
          </cell>
        </row>
        <row r="48">
          <cell r="E48">
            <v>7476</v>
          </cell>
          <cell r="G48">
            <v>7476</v>
          </cell>
        </row>
        <row r="49">
          <cell r="E49">
            <v>195036</v>
          </cell>
          <cell r="G49">
            <v>2099349.9507599999</v>
          </cell>
        </row>
        <row r="50">
          <cell r="E50">
            <v>1056000</v>
          </cell>
          <cell r="G50">
            <v>2328078.7200000002</v>
          </cell>
        </row>
        <row r="51">
          <cell r="E51">
            <v>1981</v>
          </cell>
          <cell r="G51">
            <v>77.99212598425197</v>
          </cell>
        </row>
        <row r="52">
          <cell r="E52">
            <v>10209</v>
          </cell>
          <cell r="G52">
            <v>33.494095559999998</v>
          </cell>
        </row>
        <row r="53">
          <cell r="E53" t="str">
            <v>-</v>
          </cell>
          <cell r="G53" t="str">
            <v>-</v>
          </cell>
        </row>
        <row r="54">
          <cell r="E54">
            <v>1549.4</v>
          </cell>
          <cell r="G54">
            <v>61</v>
          </cell>
        </row>
        <row r="55">
          <cell r="E55">
            <v>7000</v>
          </cell>
          <cell r="G55">
            <v>22.965880000000002</v>
          </cell>
        </row>
        <row r="56">
          <cell r="E56">
            <v>5</v>
          </cell>
          <cell r="G56">
            <v>5</v>
          </cell>
        </row>
        <row r="57">
          <cell r="E57">
            <v>2896</v>
          </cell>
          <cell r="G57">
            <v>114.01574803149607</v>
          </cell>
        </row>
        <row r="58">
          <cell r="E58">
            <v>9200</v>
          </cell>
          <cell r="G58">
            <v>30.183727999999999</v>
          </cell>
        </row>
        <row r="59">
          <cell r="E59">
            <v>7</v>
          </cell>
          <cell r="G59">
            <v>7</v>
          </cell>
        </row>
        <row r="60">
          <cell r="E60">
            <v>56.4</v>
          </cell>
          <cell r="G60">
            <v>185.039376</v>
          </cell>
        </row>
        <row r="61">
          <cell r="E61">
            <v>5.6</v>
          </cell>
          <cell r="G61">
            <v>18.372703999999999</v>
          </cell>
        </row>
        <row r="62">
          <cell r="E62" t="str">
            <v>-</v>
          </cell>
          <cell r="G62" t="str">
            <v>-</v>
          </cell>
        </row>
        <row r="63">
          <cell r="E63" t="str">
            <v>X</v>
          </cell>
        </row>
        <row r="64">
          <cell r="E64" t="str">
            <v>O</v>
          </cell>
        </row>
        <row r="65">
          <cell r="E65" t="str">
            <v>X</v>
          </cell>
        </row>
        <row r="66">
          <cell r="E66" t="str">
            <v>X</v>
          </cell>
        </row>
        <row r="67">
          <cell r="E67" t="str">
            <v>X</v>
          </cell>
        </row>
        <row r="68">
          <cell r="E68" t="str">
            <v>O</v>
          </cell>
        </row>
        <row r="69">
          <cell r="E69" t="str">
            <v>X</v>
          </cell>
        </row>
        <row r="70">
          <cell r="E70" t="str">
            <v>X</v>
          </cell>
        </row>
        <row r="71">
          <cell r="E71" t="str">
            <v>X</v>
          </cell>
        </row>
        <row r="72">
          <cell r="E72" t="str">
            <v>X</v>
          </cell>
        </row>
        <row r="73">
          <cell r="E73" t="str">
            <v>X</v>
          </cell>
        </row>
        <row r="74">
          <cell r="E74" t="str">
            <v>O</v>
          </cell>
        </row>
        <row r="75">
          <cell r="E75" t="str">
            <v>O</v>
          </cell>
        </row>
        <row r="76">
          <cell r="E76" t="str">
            <v>X</v>
          </cell>
        </row>
        <row r="77">
          <cell r="E77" t="str">
            <v>X</v>
          </cell>
        </row>
        <row r="78">
          <cell r="E78" t="str">
            <v>X</v>
          </cell>
        </row>
        <row r="79">
          <cell r="E79" t="str">
            <v>X</v>
          </cell>
        </row>
        <row r="80">
          <cell r="E80" t="str">
            <v>O</v>
          </cell>
        </row>
        <row r="81">
          <cell r="E81" t="str">
            <v>X</v>
          </cell>
        </row>
        <row r="82">
          <cell r="E82" t="str">
            <v>X</v>
          </cell>
        </row>
        <row r="83">
          <cell r="E83" t="str">
            <v>X</v>
          </cell>
        </row>
        <row r="84">
          <cell r="E84" t="str">
            <v>X</v>
          </cell>
        </row>
        <row r="85">
          <cell r="E85" t="str">
            <v>O</v>
          </cell>
        </row>
        <row r="86">
          <cell r="E86" t="str">
            <v>X</v>
          </cell>
        </row>
        <row r="87">
          <cell r="E87" t="str">
            <v>X</v>
          </cell>
        </row>
        <row r="88">
          <cell r="E88" t="str">
            <v>X</v>
          </cell>
        </row>
        <row r="89">
          <cell r="E89" t="str">
            <v>X</v>
          </cell>
        </row>
        <row r="90">
          <cell r="E90" t="str">
            <v>X</v>
          </cell>
        </row>
        <row r="91">
          <cell r="E91" t="str">
            <v>X</v>
          </cell>
        </row>
        <row r="92">
          <cell r="E92">
            <v>0</v>
          </cell>
        </row>
        <row r="93">
          <cell r="E93">
            <v>0</v>
          </cell>
        </row>
        <row r="94">
          <cell r="E94">
            <v>0</v>
          </cell>
        </row>
        <row r="95">
          <cell r="E95">
            <v>0</v>
          </cell>
        </row>
        <row r="96">
          <cell r="E96">
            <v>0</v>
          </cell>
        </row>
        <row r="97">
          <cell r="E97">
            <v>0</v>
          </cell>
        </row>
        <row r="98">
          <cell r="E98">
            <v>0</v>
          </cell>
        </row>
        <row r="99">
          <cell r="E99">
            <v>0</v>
          </cell>
        </row>
      </sheetData>
      <sheetData sheetId="2" refreshError="1"/>
      <sheetData sheetId="3" refreshError="1"/>
      <sheetData sheetId="4" refreshError="1"/>
      <sheetData sheetId="5"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seb"/>
      <sheetName val="Notes_on_changes"/>
      <sheetName val="Sheet1"/>
      <sheetName val="Financial Estimates"/>
      <sheetName val="per unit"/>
      <sheetName val="I"/>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Summary"/>
      <sheetName val="BHUSAWAL"/>
      <sheetName val="F1(Bhu)"/>
      <sheetName val="F2.1(Bhu)"/>
      <sheetName val="F2.2(Bhu)"/>
      <sheetName val="F2.3(Bhu)"/>
      <sheetName val="F2.6(Bhu)"/>
      <sheetName val="F3(Bhu)"/>
      <sheetName val="F3.1(Bhu)"/>
      <sheetName val="F3.2(Bhu)"/>
      <sheetName val="F3.3(Bhu)"/>
      <sheetName val="F4(Bhu)"/>
      <sheetName val="F5(Bhu)"/>
      <sheetName val="F5.1(Bhu)"/>
      <sheetName val="F5.2(Bhu)"/>
      <sheetName val="F5.3(Bhu)"/>
      <sheetName val="F5.4(Bhu)"/>
      <sheetName val="F6(Bhu)"/>
      <sheetName val="F11(Bhu)"/>
      <sheetName val="F12(Bhu)"/>
      <sheetName val="Chandrapur"/>
      <sheetName val="F1(Cha)"/>
      <sheetName val="F2.1(Cha)"/>
      <sheetName val="F2.2(Cha)"/>
      <sheetName val="F2.3(Cha)"/>
      <sheetName val="F2.6(Cha)"/>
      <sheetName val="F3(Cha)"/>
      <sheetName val="F3.1(Cha)"/>
      <sheetName val="F3.2(Cha)"/>
      <sheetName val="F3.3(Cha)"/>
      <sheetName val="F4(Cha)"/>
      <sheetName val="F5(Cha)"/>
      <sheetName val="F5.1(Cha)"/>
      <sheetName val="F5.2(Cha)"/>
      <sheetName val="F5.3(Cha)"/>
      <sheetName val="F5.4(Cha)"/>
      <sheetName val="F6(Cha)"/>
      <sheetName val="F11(Cha)"/>
      <sheetName val="F12(Cha)"/>
      <sheetName val="Koradi"/>
      <sheetName val="F1(Kor)"/>
      <sheetName val="F2.1(Kor)"/>
      <sheetName val="F2.2(Kor)"/>
      <sheetName val="F2.3(Kor)"/>
      <sheetName val="F2.6(Kor)"/>
      <sheetName val="F3(Kor)"/>
      <sheetName val="F3.1(Kor)"/>
      <sheetName val="F3.2(Kor)"/>
      <sheetName val="F3.3(Kor)"/>
      <sheetName val="F4(Kor)"/>
      <sheetName val="F5(Kor)"/>
      <sheetName val="F5.1(Kor)"/>
      <sheetName val="F5.2(Kor)"/>
      <sheetName val="F5.3(Kor)"/>
      <sheetName val="F5.4(Kor)"/>
      <sheetName val="F6(Kor)"/>
      <sheetName val="F11(Kor)"/>
      <sheetName val="F12(Kor)"/>
      <sheetName val="Paras"/>
      <sheetName val="F1(Paras)"/>
      <sheetName val="F2.1(Paras)"/>
      <sheetName val="F2.2(Paras)"/>
      <sheetName val="F2.3(Paras)"/>
      <sheetName val="F2.6(Paras)"/>
      <sheetName val="F3(Paras)"/>
      <sheetName val="F3.1(Paras)"/>
      <sheetName val="F3.2(Paras)"/>
      <sheetName val="F3.3(Paras)"/>
      <sheetName val="F4(Paras)"/>
      <sheetName val="F5(Paras)"/>
      <sheetName val="F5.1(Paras)"/>
      <sheetName val="F5.2(Paras)"/>
      <sheetName val="F5.3(Paras)"/>
      <sheetName val="F5.4(Paras)"/>
      <sheetName val="F6(Paras)"/>
      <sheetName val="F11(Paras)"/>
      <sheetName val="F12(Paras)"/>
      <sheetName val="Parli"/>
      <sheetName val="F1(Parli)"/>
      <sheetName val="F2.1(Parli)"/>
      <sheetName val="F2.2(Parli)"/>
      <sheetName val="F2.3(Parli)"/>
      <sheetName val="F2.6(Parli)"/>
      <sheetName val="F3(Parli)"/>
      <sheetName val="F3.1(Parli)"/>
      <sheetName val="F3.2(Parli)"/>
      <sheetName val="F3.3(Parli)"/>
      <sheetName val="F4(Parli)"/>
      <sheetName val="F5(Parli)"/>
      <sheetName val="F5.1(Parli)"/>
      <sheetName val="F5.2(Parli)"/>
      <sheetName val="F5.3(Parli)"/>
      <sheetName val="F5.4(Parli)"/>
      <sheetName val="F6(Parli)"/>
      <sheetName val="F11(Parli)"/>
      <sheetName val="F12(Parli)"/>
      <sheetName val="Khaperkheda"/>
      <sheetName val="F1(Kha)"/>
      <sheetName val="F2.1(Kha)"/>
      <sheetName val="F2.2(Kha)"/>
      <sheetName val="F2.3(Kha)"/>
      <sheetName val="F2.6(Kha)"/>
      <sheetName val="F3(Kha)"/>
      <sheetName val="F3.1(Kha)"/>
      <sheetName val="F3.2(Kha)"/>
      <sheetName val="F3.3(Kha)"/>
      <sheetName val="F4(Kha)"/>
      <sheetName val="F5(Kha)"/>
      <sheetName val="F5.1(Kha)"/>
      <sheetName val="F5.2(Kha)"/>
      <sheetName val="F5.3(Kha)"/>
      <sheetName val="F5.4(Kha)"/>
      <sheetName val="F6(Kha)"/>
      <sheetName val="F11(Kha)"/>
      <sheetName val="F12(Kha)"/>
      <sheetName val="Nasik"/>
      <sheetName val="F1(Nasi)"/>
      <sheetName val="F2.1(Nasi)"/>
      <sheetName val="F2.2(Nasi)"/>
      <sheetName val="F2.3(Nasi)"/>
      <sheetName val="F2.6(Nasi)"/>
      <sheetName val="F3(Nasi)"/>
      <sheetName val="F3.1(Nasi)"/>
      <sheetName val="F3.2(Nasi)"/>
      <sheetName val="F3.3(Nasi)"/>
      <sheetName val="F4(Nasi)"/>
      <sheetName val="F5(Nasi)"/>
      <sheetName val="F5.1(Nasi)"/>
      <sheetName val="F5.2(Nasi)"/>
      <sheetName val="F5.3(Nasi)"/>
      <sheetName val="F5.4(Nasi)"/>
      <sheetName val="F6(Nasi)"/>
      <sheetName val="F11(Nasi)"/>
      <sheetName val="F12(Nasi)"/>
      <sheetName val="Uran"/>
      <sheetName val="F1(Uran)"/>
      <sheetName val="F2.1(Uran)"/>
      <sheetName val="F2.2(Uran)"/>
      <sheetName val="F2.3(Uran)"/>
      <sheetName val="F2.6(Uran)"/>
      <sheetName val="F3(Uran)"/>
      <sheetName val="F3.1(Uran)"/>
      <sheetName val="F3.2(Uran)"/>
      <sheetName val="F3.3(Uran)"/>
      <sheetName val="F4(Uran)"/>
      <sheetName val="F5(Uran)"/>
      <sheetName val="F5.1(Uran)"/>
      <sheetName val="F5.2(Uran)"/>
      <sheetName val="F5.3(Uran)"/>
      <sheetName val="F5.4(Uran)"/>
      <sheetName val="F6(Uran)"/>
      <sheetName val="F11(Uran)"/>
      <sheetName val="F12(Uran)"/>
      <sheetName val="Hydro"/>
      <sheetName val="F1(Hydro)"/>
      <sheetName val="F2.1(Hydro)"/>
      <sheetName val="F2.3(Hydro)"/>
      <sheetName val="F2.4(Hydro)"/>
      <sheetName val="F2.6(Hydro)"/>
      <sheetName val="F3(Hydro)"/>
      <sheetName val="F3.1(Hydro)"/>
      <sheetName val="F3.2(Hydro)"/>
      <sheetName val="F3.3(Hydro)"/>
      <sheetName val="F4(Hydro)"/>
      <sheetName val="F4(Koyna)"/>
      <sheetName val="F4(PuneHydro)"/>
      <sheetName val="F4(NasikHydro)"/>
      <sheetName val="F5(Hydro)"/>
      <sheetName val="F5.1(Hydro)"/>
      <sheetName val="F5.2(Hydro)"/>
      <sheetName val="F5.3(PuneHydro)"/>
      <sheetName val="F5.4(PuneHydro)"/>
      <sheetName val="F5.3(NasikHydro)"/>
      <sheetName val="F5.4(NasikHydro)"/>
      <sheetName val="F5.3(Koyna)"/>
      <sheetName val="F5.4(Koyna)"/>
      <sheetName val="F6(Hydro)"/>
      <sheetName val="F11(Hydro)"/>
      <sheetName val="F12(Hydro)"/>
      <sheetName val="2000-01"/>
      <sheetName val="F2_1(Bhu)"/>
      <sheetName val="F2_2(Bhu)"/>
      <sheetName val="F2_3(Bhu)"/>
      <sheetName val="F2_6(Bhu)"/>
      <sheetName val="F3_1(Bhu)"/>
      <sheetName val="F3_2(Bhu)"/>
      <sheetName val="F3_3(Bhu)"/>
      <sheetName val="F5_1(Bhu)"/>
      <sheetName val="F5_2(Bhu)"/>
      <sheetName val="F5_3(Bhu)"/>
      <sheetName val="F5_4(Bhu)"/>
      <sheetName val="F2_1(Cha)"/>
      <sheetName val="F2_2(Cha)"/>
      <sheetName val="F2_3(Cha)"/>
      <sheetName val="F2_6(Cha)"/>
      <sheetName val="F3_1(Cha)"/>
      <sheetName val="F3_2(Cha)"/>
      <sheetName val="F3_3(Cha)"/>
      <sheetName val="F5_1(Cha)"/>
      <sheetName val="F5_2(Cha)"/>
      <sheetName val="F5_3(Cha)"/>
      <sheetName val="F5_4(Cha)"/>
      <sheetName val="F2_1(Kor)"/>
      <sheetName val="F2_2(Kor)"/>
      <sheetName val="F2_3(Kor)"/>
      <sheetName val="F2_6(Kor)"/>
      <sheetName val="F3_1(Kor)"/>
      <sheetName val="F3_2(Kor)"/>
      <sheetName val="F3_3(Kor)"/>
      <sheetName val="F5_1(Kor)"/>
      <sheetName val="F5_2(Kor)"/>
      <sheetName val="F5_3(Kor)"/>
      <sheetName val="F5_4(Kor)"/>
      <sheetName val="F2_1(Paras)"/>
      <sheetName val="F2_2(Paras)"/>
      <sheetName val="F2_3(Paras)"/>
      <sheetName val="F2_6(Paras)"/>
      <sheetName val="F3_1(Paras)"/>
      <sheetName val="F3_2(Paras)"/>
      <sheetName val="F3_3(Paras)"/>
      <sheetName val="F5_1(Paras)"/>
      <sheetName val="F5_2(Paras)"/>
      <sheetName val="F5_3(Paras)"/>
      <sheetName val="F5_4(Paras)"/>
      <sheetName val="F2_1(Parli)"/>
      <sheetName val="F2_2(Parli)"/>
      <sheetName val="F2_3(Parli)"/>
      <sheetName val="F2_6(Parli)"/>
      <sheetName val="F3_1(Parli)"/>
      <sheetName val="F3_2(Parli)"/>
      <sheetName val="F3_3(Parli)"/>
      <sheetName val="F5_1(Parli)"/>
      <sheetName val="F5_2(Parli)"/>
      <sheetName val="F5_3(Parli)"/>
      <sheetName val="F5_4(Parli)"/>
      <sheetName val="F2_1(Kha)"/>
      <sheetName val="F2_2(Kha)"/>
      <sheetName val="F2_3(Kha)"/>
      <sheetName val="F2_6(Kha)"/>
      <sheetName val="F3_1(Kha)"/>
      <sheetName val="F3_2(Kha)"/>
      <sheetName val="F3_3(Kha)"/>
      <sheetName val="F5_1(Kha)"/>
      <sheetName val="F5_2(Kha)"/>
      <sheetName val="F5_3(Kha)"/>
      <sheetName val="F5_4(Kha)"/>
      <sheetName val="F2_1(Nasi)"/>
      <sheetName val="F2_2(Nasi)"/>
      <sheetName val="F2_3(Nasi)"/>
      <sheetName val="F2_6(Nasi)"/>
      <sheetName val="F3_1(Nasi)"/>
      <sheetName val="F3_2(Nasi)"/>
      <sheetName val="F3_3(Nasi)"/>
      <sheetName val="F5_1(Nasi)"/>
      <sheetName val="F5_2(Nasi)"/>
      <sheetName val="F5_3(Nasi)"/>
      <sheetName val="F5_4(Nasi)"/>
      <sheetName val="F2_1(Uran)"/>
      <sheetName val="F2_2(Uran)"/>
      <sheetName val="F2_3(Uran)"/>
      <sheetName val="F2_6(Uran)"/>
      <sheetName val="F3_1(Uran)"/>
      <sheetName val="F3_2(Uran)"/>
      <sheetName val="F3_3(Uran)"/>
      <sheetName val="F5_1(Uran)"/>
      <sheetName val="F5_2(Uran)"/>
      <sheetName val="F5_3(Uran)"/>
      <sheetName val="F5_4(Uran)"/>
      <sheetName val="F2_1(Hydro)"/>
      <sheetName val="F2_3(Hydro)"/>
      <sheetName val="F2_4(Hydro)"/>
      <sheetName val="F2_6(Hydro)"/>
      <sheetName val="F3_1(Hydro)"/>
      <sheetName val="F3_2(Hydro)"/>
      <sheetName val="F3_3(Hydro)"/>
      <sheetName val="F5_1(Hydro)"/>
      <sheetName val="F5_2(Hydro)"/>
      <sheetName val="F5_3(PuneHydro)"/>
      <sheetName val="F5_4(PuneHydro)"/>
      <sheetName val="F5_3(NasikHydro)"/>
      <sheetName val="F5_4(NasikHydro)"/>
      <sheetName val="F5_3(Koyna)"/>
      <sheetName val="F5_4(Koyna)"/>
    </sheetNames>
    <sheetDataSet>
      <sheetData sheetId="0">
        <row r="3">
          <cell r="B3">
            <v>7.8600000000000003E-2</v>
          </cell>
        </row>
        <row r="6">
          <cell r="B6">
            <v>0.06</v>
          </cell>
        </row>
        <row r="7">
          <cell r="B7">
            <v>0.06</v>
          </cell>
        </row>
        <row r="8">
          <cell r="B8">
            <v>0.06</v>
          </cell>
        </row>
        <row r="9">
          <cell r="B9">
            <v>0.06</v>
          </cell>
        </row>
        <row r="10">
          <cell r="B10">
            <v>0.05</v>
          </cell>
        </row>
        <row r="11">
          <cell r="B11">
            <v>0.12</v>
          </cell>
        </row>
        <row r="12">
          <cell r="B12">
            <v>0.12</v>
          </cell>
        </row>
        <row r="13">
          <cell r="B13">
            <v>1</v>
          </cell>
        </row>
        <row r="16">
          <cell r="B16">
            <v>0.13</v>
          </cell>
        </row>
        <row r="17">
          <cell r="B17">
            <v>0.13</v>
          </cell>
        </row>
        <row r="18">
          <cell r="B18">
            <v>0.13</v>
          </cell>
        </row>
        <row r="20">
          <cell r="B20">
            <v>0.1993</v>
          </cell>
        </row>
        <row r="22">
          <cell r="B22">
            <v>70.004999999999995</v>
          </cell>
        </row>
        <row r="23">
          <cell r="B23">
            <v>358.87740000000002</v>
          </cell>
        </row>
        <row r="25">
          <cell r="B25">
            <v>2E-3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efreshError="1"/>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employee projec"/>
      <sheetName val="New recruitment Status"/>
      <sheetName val="combined"/>
      <sheetName val="Transmission"/>
      <sheetName val="Index"/>
      <sheetName val="transmission Charges"/>
      <sheetName val="Control Sheet"/>
      <sheetName val="CB&amp;R"/>
      <sheetName val="Capex Summary sheet"/>
      <sheetName val="O&amp;M Analysis"/>
      <sheetName val="CPI WPI"/>
      <sheetName val="F1(a)"/>
      <sheetName val="SLDC ARR"/>
      <sheetName val="F1"/>
      <sheetName val="F4"/>
      <sheetName val="F5"/>
      <sheetName val="F8"/>
      <sheetName val="F9"/>
      <sheetName val="F11"/>
      <sheetName val="F12 "/>
      <sheetName val="Schedules of Accounts FY 16"/>
      <sheetName val="F14"/>
      <sheetName val="F15"/>
      <sheetName val="F16"/>
      <sheetName val="F17"/>
      <sheetName val="F18"/>
      <sheetName val="F19"/>
      <sheetName val="F20"/>
      <sheetName val="F21"/>
      <sheetName val="F21 detailed"/>
      <sheetName val="Schedules of Accounts FY 12-13"/>
      <sheetName val="Schedules of Accounts FY 13-14"/>
      <sheetName val="Funding Pattern"/>
      <sheetName val="F22"/>
      <sheetName val="F23"/>
      <sheetName val="F24"/>
      <sheetName val="Data_TL_consolidated"/>
      <sheetName val="Revised data_Sub-stations"/>
      <sheetName val="Backup data"/>
      <sheetName val="Tx. Charges"/>
      <sheetName val="TransmissionLines-Addition"/>
      <sheetName val="F10"/>
      <sheetName val="O &amp; M Expenses"/>
      <sheetName val="19.11.2011 data Trns.ines"/>
      <sheetName val="F9_data_A &amp; R"/>
      <sheetName val="Data_TL"/>
      <sheetName val="TL_FY11"/>
      <sheetName val="Data_ Substations"/>
      <sheetName val="FY 17_Circuit KM_data_TL"/>
      <sheetName val="F18_data_revised_SS"/>
      <sheetName val="Commissioning Details"/>
      <sheetName val="F18_data_P &amp; M"/>
      <sheetName val="F19_data_revised_SS"/>
      <sheetName val="F19_data_P &amp; M"/>
      <sheetName val="Data_Loan_PSTCL"/>
      <sheetName val="LIC"/>
      <sheetName val="OBC"/>
      <sheetName val="Annual_RECLoan"/>
      <sheetName val="Transco_RECLOAN"/>
      <sheetName val="REC-M"/>
      <sheetName val="REC-Q"/>
      <sheetName val="REC-Y"/>
      <sheetName val="EQI"/>
      <sheetName val="Monthly"/>
      <sheetName val="SBOP-MTL"/>
      <sheetName val="STL"/>
      <sheetName val="F22_data_P &amp; M"/>
      <sheetName val="Capex-FY 11"/>
      <sheetName val="Capex-FY 12-H1"/>
      <sheetName val="Capex-FY 12-H2"/>
      <sheetName val="Capex-FY 13"/>
      <sheetName val="Capex"/>
      <sheetName val="Annexure A-last Petition"/>
      <sheetName val="Annexure B-last Petition"/>
      <sheetName val="SLDC charges"/>
      <sheetName val="Calculation of Revenue Gap"/>
      <sheetName val="Schedules of Accounts"/>
      <sheetName val="ARR (SLDC)"/>
      <sheetName val="O&amp;M Expenses as per Amended Reg"/>
      <sheetName val="Tariff For FY 14"/>
      <sheetName val="Sheet1"/>
      <sheetName val="Sheet2"/>
      <sheetName val="Schedules of Accounts FY 13 "/>
      <sheetName val="Schedules of Accounts FY 14"/>
      <sheetName val="ARR"/>
      <sheetName val="Tables FY 13"/>
      <sheetName val="Tables FY 14"/>
      <sheetName val="Table FY 16"/>
      <sheetName val="Table FY 17"/>
      <sheetName val="Table FY 15"/>
      <sheetName val="Depreciation"/>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ow r="16">
          <cell r="E16">
            <v>2929.4336985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Flash"/>
      <sheetName val="MIS - License Area"/>
      <sheetName val="Tariffs"/>
      <sheetName val="Assumption Sheet"/>
      <sheetName val="Sales Growth Assumptions"/>
      <sheetName val="Rev Analysis"/>
      <sheetName val="Annual Sales"/>
      <sheetName val="Monthly Sales FY06 07 08"/>
      <sheetName val="ABP FY06 Summary (No TOSE)"/>
      <sheetName val="ABP FY07 Summary (No TOSE)"/>
      <sheetName val="ABP FY08 Summary (No TOSE)"/>
      <sheetName val="Monthly-Revenue (No TOSE)"/>
      <sheetName val="ABP FY06 Summary (TOSE)"/>
      <sheetName val="Summary-Tariffs"/>
      <sheetName val="Gen FY06"/>
      <sheetName val="FAC Computation-FY06"/>
      <sheetName val="FAC Computation-FY06 (No VAT)"/>
      <sheetName val="FB-FY06"/>
      <sheetName val="VAT_Excise"/>
      <sheetName val="PP FY06"/>
      <sheetName val="PRICE &amp; CV"/>
      <sheetName val="Monthly-Sales"/>
      <sheetName val="Monthly-En Ch"/>
      <sheetName val="Monthly-MD Ch"/>
      <sheetName val="Monthly-FAC Ch"/>
      <sheetName val="Monthly-TOSE Ch"/>
      <sheetName val="Monthly-Revenue (TOSE)"/>
      <sheetName val="Gen FY07"/>
      <sheetName val="FAC Computation-FY07"/>
      <sheetName val="FB-FY07"/>
      <sheetName val="PP FY07"/>
      <sheetName val="FAC Computation-FY08"/>
      <sheetName val="Gen FY08"/>
      <sheetName val="FB-FY08"/>
      <sheetName val="PP FY08"/>
      <sheetName val="Annual - MVA"/>
      <sheetName val="Sum S&amp;R(FY04)"/>
      <sheetName val="Sum S&amp;R (FY05-H1 &amp; H2)"/>
      <sheetName val="Monthly-MVA"/>
      <sheetName val="ED Computation"/>
      <sheetName val="Sum S&amp;R (FY06)"/>
      <sheetName val="Sum-S&amp;R"/>
      <sheetName val="Old Fuel Budget"/>
      <sheetName val="GEN"/>
      <sheetName val="Annual Summary"/>
      <sheetName val="New Cust-CDD"/>
      <sheetName val="MSEB"/>
      <sheetName val="B22"/>
      <sheetName val="B100"/>
      <sheetName val="BE_d"/>
      <sheetName val="REL"/>
      <sheetName val="REL Steps"/>
      <sheetName val="Rl22"/>
      <sheetName val="Rl100"/>
      <sheetName val="RT"/>
      <sheetName val="HT-I"/>
      <sheetName val="HT-C"/>
      <sheetName val="P22"/>
      <sheetName val="P100"/>
      <sheetName val="CPP"/>
      <sheetName val="T"/>
      <sheetName val="Sales FY05"/>
      <sheetName val="En Ch FY05"/>
      <sheetName val="MD Ch FY05"/>
      <sheetName val="FAC Ch FY05"/>
      <sheetName val="REL Steps (2)"/>
      <sheetName val="2PI"/>
      <sheetName val="2PC"/>
      <sheetName val="1PI"/>
      <sheetName val="1PC"/>
      <sheetName val="R"/>
      <sheetName val="Commercial"/>
      <sheetName val="Public"/>
      <sheetName val="HT+CPP"/>
      <sheetName val="Sheet1"/>
      <sheetName val="Licencees"/>
      <sheetName val="Sheet2"/>
      <sheetName val="HT Public-cust"/>
      <sheetName val="BEST-100kV"/>
      <sheetName val="Sheet4"/>
      <sheetName val="MD-9899"/>
      <sheetName val="99-00"/>
      <sheetName val="00-01"/>
      <sheetName val="01-02"/>
      <sheetName val="02-03"/>
      <sheetName val="03-04"/>
      <sheetName val="04-05"/>
      <sheetName val="Gen Sch (Revis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LY -99-00"/>
      <sheetName val="Hydro Data"/>
      <sheetName val="HLY0001"/>
      <sheetName val="SUMMERY"/>
      <sheetName val="mnthly-chrt"/>
      <sheetName val="purchase"/>
      <sheetName val="dpc cost"/>
      <sheetName val="Plant Availability"/>
      <sheetName val="MOD-PROJ"/>
      <sheetName val="Apr-99"/>
      <sheetName val="May-99"/>
      <sheetName val="Jun-99"/>
      <sheetName val="July-99"/>
      <sheetName val="Aug-99"/>
      <sheetName val="Sept-99"/>
      <sheetName val="Oct-99"/>
      <sheetName val="Nov-99"/>
      <sheetName val="Dec-99"/>
      <sheetName val="Jan-00"/>
      <sheetName val="Feb-00"/>
      <sheetName val="Mar-00"/>
      <sheetName val="Sheet1"/>
      <sheetName val="HLY_-99-00"/>
      <sheetName val="Hydro_Data"/>
      <sheetName val="dpc_cost"/>
      <sheetName val="Plant_Availability"/>
      <sheetName val="Bombaybazar(Remark)"/>
      <sheetName val="Discom Details"/>
      <sheetName val="A 3.7"/>
      <sheetName val="C.S.GENERATION"/>
      <sheetName val="Sch-3"/>
      <sheetName val="Assumptions"/>
      <sheetName val="HLY_-99-002"/>
      <sheetName val="Hydro_Data2"/>
      <sheetName val="dpc_cost2"/>
      <sheetName val="Plant_Availability2"/>
      <sheetName val="HLY_-99-001"/>
      <sheetName val="Hydro_Data1"/>
      <sheetName val="dpc_cost1"/>
      <sheetName val="Plant_Availability1"/>
      <sheetName val="Cash Flow"/>
      <sheetName val="all"/>
      <sheetName val="04rel"/>
      <sheetName val="RAJ"/>
      <sheetName val="HLY_-99-003"/>
      <sheetName val="Hydro_Data3"/>
      <sheetName val="dpc_cost3"/>
      <sheetName val="Plant_Availability3"/>
      <sheetName val="Discom_Details"/>
      <sheetName val="A_3_7"/>
      <sheetName val="C_S_GENERATION"/>
      <sheetName val="Cash_Flow"/>
      <sheetName val="DCL AUG 12"/>
      <sheetName val="General"/>
      <sheetName val="7.11 p1"/>
      <sheetName val="strain"/>
      <sheetName val="data"/>
      <sheetName val="Index Feb 09"/>
      <sheetName val="Data base Feb 09"/>
    </sheetNames>
    <sheetDataSet>
      <sheetData sheetId="0" refreshError="1"/>
      <sheetData sheetId="1" refreshError="1"/>
      <sheetData sheetId="2" refreshError="1"/>
      <sheetData sheetId="3" refreshError="1">
        <row r="1">
          <cell r="P1">
            <v>0.72</v>
          </cell>
        </row>
      </sheetData>
      <sheetData sheetId="4" refreshError="1"/>
      <sheetData sheetId="5" refreshError="1"/>
      <sheetData sheetId="6" refreshError="1">
        <row r="1">
          <cell r="D1">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ow r="1">
          <cell r="D1">
            <v>0</v>
          </cell>
        </row>
      </sheetData>
      <sheetData sheetId="46">
        <row r="1">
          <cell r="D1">
            <v>0</v>
          </cell>
        </row>
      </sheetData>
      <sheetData sheetId="47">
        <row r="1">
          <cell r="D1">
            <v>0</v>
          </cell>
        </row>
      </sheetData>
      <sheetData sheetId="48">
        <row r="1">
          <cell r="D1">
            <v>0</v>
          </cell>
        </row>
      </sheetData>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vel_qty"/>
      <sheetName val="Nov_04"/>
      <sheetName val="Dec_04"/>
      <sheetName val="Assumptions"/>
      <sheetName val="dpc cost"/>
      <sheetName val="SUMMERY"/>
      <sheetName val="dpc_cost"/>
      <sheetName val="OCM3"/>
    </sheetNames>
    <sheetDataSet>
      <sheetData sheetId="0" refreshError="1">
        <row r="8">
          <cell r="B8">
            <v>195</v>
          </cell>
          <cell r="C8">
            <v>1</v>
          </cell>
        </row>
        <row r="9">
          <cell r="B9">
            <v>195.02500000000001</v>
          </cell>
          <cell r="C9">
            <v>1.05</v>
          </cell>
        </row>
        <row r="10">
          <cell r="B10">
            <v>195.05</v>
          </cell>
          <cell r="C10">
            <v>1.1000000000000001</v>
          </cell>
        </row>
        <row r="11">
          <cell r="B11">
            <v>195.07499999999999</v>
          </cell>
          <cell r="C11">
            <v>1.1499999999999999</v>
          </cell>
        </row>
        <row r="12">
          <cell r="B12">
            <v>195.1</v>
          </cell>
          <cell r="C12">
            <v>1.2</v>
          </cell>
        </row>
        <row r="13">
          <cell r="B13">
            <v>195.125</v>
          </cell>
          <cell r="C13">
            <v>1.25</v>
          </cell>
        </row>
        <row r="14">
          <cell r="B14">
            <v>195.15</v>
          </cell>
          <cell r="C14">
            <v>1.3</v>
          </cell>
        </row>
        <row r="15">
          <cell r="B15">
            <v>195.17500000000001</v>
          </cell>
          <cell r="C15">
            <v>1.35</v>
          </cell>
        </row>
        <row r="16">
          <cell r="B16">
            <v>195.2</v>
          </cell>
          <cell r="C16">
            <v>1.4</v>
          </cell>
        </row>
        <row r="17">
          <cell r="B17">
            <v>195.22499999999999</v>
          </cell>
          <cell r="C17">
            <v>1.45</v>
          </cell>
        </row>
        <row r="18">
          <cell r="B18">
            <v>195.25</v>
          </cell>
          <cell r="C18">
            <v>1.5</v>
          </cell>
        </row>
        <row r="19">
          <cell r="B19">
            <v>195.27500000000001</v>
          </cell>
          <cell r="C19">
            <v>1.55</v>
          </cell>
        </row>
        <row r="20">
          <cell r="B20">
            <v>195.3</v>
          </cell>
          <cell r="C20">
            <v>1.6</v>
          </cell>
        </row>
        <row r="21">
          <cell r="B21">
            <v>195.32499999999999</v>
          </cell>
          <cell r="C21">
            <v>1.65</v>
          </cell>
        </row>
        <row r="22">
          <cell r="B22">
            <v>195.35</v>
          </cell>
          <cell r="C22">
            <v>1.7</v>
          </cell>
        </row>
        <row r="23">
          <cell r="B23">
            <v>195.375</v>
          </cell>
          <cell r="C23">
            <v>1.75</v>
          </cell>
        </row>
        <row r="24">
          <cell r="B24">
            <v>195.4</v>
          </cell>
          <cell r="C24">
            <v>1.8</v>
          </cell>
        </row>
        <row r="25">
          <cell r="B25">
            <v>195.42500000000001</v>
          </cell>
          <cell r="C25">
            <v>1.85</v>
          </cell>
        </row>
        <row r="26">
          <cell r="B26">
            <v>195.45</v>
          </cell>
          <cell r="C26">
            <v>1.9</v>
          </cell>
        </row>
        <row r="27">
          <cell r="B27">
            <v>195.47499999999999</v>
          </cell>
          <cell r="C27">
            <v>1.95</v>
          </cell>
        </row>
        <row r="28">
          <cell r="B28">
            <v>195.5</v>
          </cell>
          <cell r="C28">
            <v>2</v>
          </cell>
        </row>
        <row r="29">
          <cell r="B29">
            <v>195.52500000000001</v>
          </cell>
          <cell r="C29">
            <v>2.0499999999999998</v>
          </cell>
        </row>
        <row r="30">
          <cell r="B30">
            <v>195.55</v>
          </cell>
          <cell r="C30">
            <v>2.1</v>
          </cell>
        </row>
        <row r="31">
          <cell r="B31">
            <v>195.57499999999999</v>
          </cell>
          <cell r="C31">
            <v>2.15</v>
          </cell>
        </row>
        <row r="32">
          <cell r="B32">
            <v>195.6</v>
          </cell>
          <cell r="C32">
            <v>2.2000000000000002</v>
          </cell>
        </row>
        <row r="33">
          <cell r="B33">
            <v>195.625</v>
          </cell>
          <cell r="C33">
            <v>2.25</v>
          </cell>
        </row>
        <row r="34">
          <cell r="B34">
            <v>195.65</v>
          </cell>
          <cell r="C34">
            <v>2.2999999999999998</v>
          </cell>
        </row>
        <row r="35">
          <cell r="B35">
            <v>195.67500000000001</v>
          </cell>
          <cell r="C35">
            <v>2.35</v>
          </cell>
        </row>
        <row r="36">
          <cell r="B36">
            <v>195.7</v>
          </cell>
          <cell r="C36">
            <v>2.4</v>
          </cell>
        </row>
        <row r="37">
          <cell r="B37">
            <v>195.72499999999999</v>
          </cell>
          <cell r="C37">
            <v>2.4500000000000002</v>
          </cell>
        </row>
        <row r="38">
          <cell r="B38">
            <v>195.75</v>
          </cell>
          <cell r="C38">
            <v>2.5</v>
          </cell>
        </row>
        <row r="39">
          <cell r="B39">
            <v>195.77500000000001</v>
          </cell>
          <cell r="C39">
            <v>2.5499999999999998</v>
          </cell>
        </row>
        <row r="40">
          <cell r="B40">
            <v>195.8</v>
          </cell>
          <cell r="C40">
            <v>2.6</v>
          </cell>
        </row>
        <row r="41">
          <cell r="B41">
            <v>195.82499999999999</v>
          </cell>
          <cell r="C41">
            <v>2.65</v>
          </cell>
        </row>
        <row r="42">
          <cell r="B42">
            <v>195.85</v>
          </cell>
          <cell r="C42">
            <v>2.7</v>
          </cell>
        </row>
        <row r="43">
          <cell r="B43">
            <v>195.875</v>
          </cell>
          <cell r="C43">
            <v>2.75</v>
          </cell>
        </row>
        <row r="44">
          <cell r="B44">
            <v>195.9</v>
          </cell>
          <cell r="C44">
            <v>2.8</v>
          </cell>
        </row>
        <row r="45">
          <cell r="B45">
            <v>195.92500000000001</v>
          </cell>
          <cell r="C45">
            <v>2.85</v>
          </cell>
        </row>
        <row r="46">
          <cell r="B46">
            <v>195.95</v>
          </cell>
          <cell r="C46">
            <v>2.9</v>
          </cell>
        </row>
        <row r="47">
          <cell r="B47">
            <v>195.97499999999999</v>
          </cell>
          <cell r="C47">
            <v>2.95</v>
          </cell>
        </row>
        <row r="48">
          <cell r="B48">
            <v>196</v>
          </cell>
          <cell r="C48">
            <v>3</v>
          </cell>
        </row>
        <row r="49">
          <cell r="B49">
            <v>196.02500000000001</v>
          </cell>
          <cell r="C49">
            <v>3.0750000000000002</v>
          </cell>
        </row>
        <row r="50">
          <cell r="B50">
            <v>196.05</v>
          </cell>
          <cell r="C50">
            <v>3.15</v>
          </cell>
        </row>
        <row r="51">
          <cell r="B51">
            <v>196.07499999999999</v>
          </cell>
          <cell r="C51">
            <v>3.2250000000000001</v>
          </cell>
        </row>
        <row r="52">
          <cell r="B52">
            <v>196.1</v>
          </cell>
          <cell r="C52">
            <v>3.3</v>
          </cell>
        </row>
        <row r="53">
          <cell r="B53">
            <v>196.125</v>
          </cell>
          <cell r="C53">
            <v>3.375</v>
          </cell>
        </row>
        <row r="54">
          <cell r="B54">
            <v>196.15</v>
          </cell>
          <cell r="C54">
            <v>3.45</v>
          </cell>
        </row>
        <row r="55">
          <cell r="B55">
            <v>196.17500000000001</v>
          </cell>
          <cell r="C55">
            <v>3.5249999999999999</v>
          </cell>
        </row>
        <row r="56">
          <cell r="B56">
            <v>196.2</v>
          </cell>
          <cell r="C56">
            <v>3.6</v>
          </cell>
        </row>
        <row r="57">
          <cell r="B57">
            <v>196.22499999999999</v>
          </cell>
          <cell r="C57">
            <v>3.6749999999999998</v>
          </cell>
        </row>
        <row r="58">
          <cell r="B58">
            <v>196.25</v>
          </cell>
          <cell r="C58">
            <v>3.75</v>
          </cell>
        </row>
        <row r="59">
          <cell r="B59">
            <v>196.27500000000001</v>
          </cell>
          <cell r="C59">
            <v>3.8250000000000002</v>
          </cell>
        </row>
        <row r="60">
          <cell r="B60">
            <v>196.3</v>
          </cell>
          <cell r="C60">
            <v>3.9</v>
          </cell>
        </row>
        <row r="61">
          <cell r="B61">
            <v>196.32499999999999</v>
          </cell>
          <cell r="C61">
            <v>3.9750000000000001</v>
          </cell>
        </row>
        <row r="62">
          <cell r="B62">
            <v>196.35</v>
          </cell>
          <cell r="C62">
            <v>4.05</v>
          </cell>
        </row>
        <row r="63">
          <cell r="B63">
            <v>196.375</v>
          </cell>
          <cell r="C63">
            <v>4.125</v>
          </cell>
        </row>
        <row r="64">
          <cell r="B64">
            <v>196.4</v>
          </cell>
          <cell r="C64">
            <v>4.2</v>
          </cell>
        </row>
        <row r="65">
          <cell r="B65">
            <v>196.42500000000001</v>
          </cell>
          <cell r="C65">
            <v>4.2750000000000004</v>
          </cell>
        </row>
        <row r="66">
          <cell r="B66">
            <v>196.45</v>
          </cell>
          <cell r="C66">
            <v>4.3499999999999996</v>
          </cell>
        </row>
        <row r="67">
          <cell r="B67">
            <v>196.47499999999999</v>
          </cell>
          <cell r="C67">
            <v>4.4249999999999998</v>
          </cell>
        </row>
        <row r="68">
          <cell r="B68">
            <v>196.5</v>
          </cell>
          <cell r="C68">
            <v>4.5</v>
          </cell>
        </row>
        <row r="69">
          <cell r="B69">
            <v>196.52500000000001</v>
          </cell>
          <cell r="C69">
            <v>4.5750000000000002</v>
          </cell>
        </row>
        <row r="70">
          <cell r="B70">
            <v>196.55</v>
          </cell>
          <cell r="C70">
            <v>4.6500000000000004</v>
          </cell>
        </row>
        <row r="71">
          <cell r="B71">
            <v>196.57499999999999</v>
          </cell>
          <cell r="C71">
            <v>4.7249999999999996</v>
          </cell>
        </row>
        <row r="72">
          <cell r="B72">
            <v>196.6</v>
          </cell>
          <cell r="C72">
            <v>4.8</v>
          </cell>
        </row>
        <row r="73">
          <cell r="B73">
            <v>196.625</v>
          </cell>
          <cell r="C73">
            <v>4.875</v>
          </cell>
        </row>
        <row r="74">
          <cell r="B74">
            <v>196.65</v>
          </cell>
          <cell r="C74">
            <v>4.95</v>
          </cell>
        </row>
        <row r="75">
          <cell r="B75">
            <v>196.67500000000001</v>
          </cell>
          <cell r="C75">
            <v>5.0250000000000004</v>
          </cell>
        </row>
        <row r="76">
          <cell r="B76">
            <v>196.7</v>
          </cell>
          <cell r="C76">
            <v>5.0999999999999996</v>
          </cell>
        </row>
        <row r="77">
          <cell r="B77">
            <v>196.72499999999999</v>
          </cell>
          <cell r="C77">
            <v>5.1749999999999998</v>
          </cell>
        </row>
        <row r="78">
          <cell r="B78">
            <v>196.75</v>
          </cell>
          <cell r="C78">
            <v>5.25</v>
          </cell>
        </row>
        <row r="79">
          <cell r="B79">
            <v>196.77500000000001</v>
          </cell>
          <cell r="C79">
            <v>5.3250000000000002</v>
          </cell>
        </row>
        <row r="80">
          <cell r="B80">
            <v>196.8</v>
          </cell>
          <cell r="C80">
            <v>5.4</v>
          </cell>
        </row>
        <row r="81">
          <cell r="B81">
            <v>196.82499999999999</v>
          </cell>
          <cell r="C81">
            <v>5.4749999999999996</v>
          </cell>
        </row>
        <row r="82">
          <cell r="B82">
            <v>196.85</v>
          </cell>
          <cell r="C82">
            <v>5.55</v>
          </cell>
        </row>
        <row r="83">
          <cell r="B83">
            <v>196.875</v>
          </cell>
          <cell r="C83">
            <v>5.625</v>
          </cell>
        </row>
        <row r="84">
          <cell r="B84">
            <v>196.9</v>
          </cell>
          <cell r="C84">
            <v>5.7</v>
          </cell>
        </row>
        <row r="85">
          <cell r="B85">
            <v>196.92500000000001</v>
          </cell>
          <cell r="C85">
            <v>5.7750000000000004</v>
          </cell>
        </row>
        <row r="86">
          <cell r="B86">
            <v>196.95</v>
          </cell>
          <cell r="C86">
            <v>5.85</v>
          </cell>
        </row>
        <row r="87">
          <cell r="B87">
            <v>196.97499999999999</v>
          </cell>
          <cell r="C87">
            <v>5.9249999999999998</v>
          </cell>
        </row>
        <row r="88">
          <cell r="B88">
            <v>197</v>
          </cell>
          <cell r="C88">
            <v>6</v>
          </cell>
        </row>
        <row r="89">
          <cell r="B89">
            <v>197.02500000000001</v>
          </cell>
          <cell r="C89">
            <v>6.125</v>
          </cell>
        </row>
        <row r="90">
          <cell r="B90">
            <v>197.05</v>
          </cell>
          <cell r="C90">
            <v>6.25</v>
          </cell>
        </row>
        <row r="91">
          <cell r="B91">
            <v>197.07499999999999</v>
          </cell>
          <cell r="C91">
            <v>6.375</v>
          </cell>
        </row>
        <row r="92">
          <cell r="B92">
            <v>197.1</v>
          </cell>
          <cell r="C92">
            <v>6.5</v>
          </cell>
        </row>
        <row r="93">
          <cell r="B93">
            <v>197.125</v>
          </cell>
          <cell r="C93">
            <v>6.625</v>
          </cell>
        </row>
        <row r="94">
          <cell r="B94">
            <v>197.15</v>
          </cell>
          <cell r="C94">
            <v>6.75</v>
          </cell>
        </row>
        <row r="95">
          <cell r="B95">
            <v>197.17500000000001</v>
          </cell>
          <cell r="C95">
            <v>6.875</v>
          </cell>
        </row>
        <row r="96">
          <cell r="B96">
            <v>197.2</v>
          </cell>
          <cell r="C96">
            <v>7</v>
          </cell>
        </row>
        <row r="97">
          <cell r="B97">
            <v>197.22499999999999</v>
          </cell>
          <cell r="C97">
            <v>7.125</v>
          </cell>
        </row>
        <row r="98">
          <cell r="B98">
            <v>197.25</v>
          </cell>
          <cell r="C98">
            <v>7.25</v>
          </cell>
        </row>
        <row r="99">
          <cell r="B99">
            <v>197.27500000000001</v>
          </cell>
          <cell r="C99">
            <v>7.375</v>
          </cell>
        </row>
        <row r="100">
          <cell r="B100">
            <v>197.3</v>
          </cell>
          <cell r="C100">
            <v>7.5</v>
          </cell>
        </row>
        <row r="101">
          <cell r="B101">
            <v>197.32499999999999</v>
          </cell>
          <cell r="C101">
            <v>7.625</v>
          </cell>
        </row>
        <row r="102">
          <cell r="B102">
            <v>197.35</v>
          </cell>
          <cell r="C102">
            <v>7.75</v>
          </cell>
        </row>
        <row r="103">
          <cell r="B103">
            <v>197.375</v>
          </cell>
          <cell r="C103">
            <v>7.875</v>
          </cell>
        </row>
        <row r="104">
          <cell r="B104">
            <v>197.4</v>
          </cell>
          <cell r="C104">
            <v>8</v>
          </cell>
        </row>
        <row r="105">
          <cell r="B105">
            <v>197.42500000000001</v>
          </cell>
          <cell r="C105">
            <v>8.125</v>
          </cell>
        </row>
        <row r="106">
          <cell r="B106">
            <v>197.45</v>
          </cell>
          <cell r="C106">
            <v>8.25</v>
          </cell>
        </row>
        <row r="107">
          <cell r="B107">
            <v>197.47499999999999</v>
          </cell>
          <cell r="C107">
            <v>8.375</v>
          </cell>
        </row>
        <row r="108">
          <cell r="B108">
            <v>197.5</v>
          </cell>
          <cell r="C108">
            <v>8.5</v>
          </cell>
        </row>
        <row r="109">
          <cell r="B109">
            <v>197.52500000000001</v>
          </cell>
          <cell r="C109">
            <v>8.625</v>
          </cell>
        </row>
        <row r="110">
          <cell r="B110">
            <v>197.55000000000049</v>
          </cell>
          <cell r="C110">
            <v>8.75</v>
          </cell>
        </row>
        <row r="111">
          <cell r="B111">
            <v>197.5750000000005</v>
          </cell>
          <cell r="C111">
            <v>8.875</v>
          </cell>
        </row>
        <row r="112">
          <cell r="B112">
            <v>197.6</v>
          </cell>
          <cell r="C112">
            <v>9</v>
          </cell>
        </row>
        <row r="113">
          <cell r="B113">
            <v>197.625</v>
          </cell>
          <cell r="C113">
            <v>9.125</v>
          </cell>
        </row>
        <row r="114">
          <cell r="B114">
            <v>197.65</v>
          </cell>
          <cell r="C114">
            <v>9.25</v>
          </cell>
        </row>
        <row r="115">
          <cell r="B115">
            <v>197.67500000000001</v>
          </cell>
          <cell r="C115">
            <v>9.375</v>
          </cell>
        </row>
        <row r="116">
          <cell r="B116">
            <v>197.7</v>
          </cell>
          <cell r="C116">
            <v>9.5</v>
          </cell>
        </row>
        <row r="117">
          <cell r="B117">
            <v>197.72499999999999</v>
          </cell>
          <cell r="C117">
            <v>9.625</v>
          </cell>
        </row>
        <row r="118">
          <cell r="B118">
            <v>197.75</v>
          </cell>
          <cell r="C118">
            <v>9.75</v>
          </cell>
        </row>
        <row r="119">
          <cell r="B119">
            <v>197.77500000000001</v>
          </cell>
          <cell r="C119">
            <v>9.875</v>
          </cell>
        </row>
        <row r="120">
          <cell r="B120">
            <v>197.8</v>
          </cell>
          <cell r="C120">
            <v>10</v>
          </cell>
        </row>
        <row r="121">
          <cell r="B121">
            <v>197.82499999999999</v>
          </cell>
          <cell r="C121">
            <v>10.125</v>
          </cell>
        </row>
        <row r="122">
          <cell r="B122">
            <v>197.85</v>
          </cell>
          <cell r="C122">
            <v>10.25</v>
          </cell>
        </row>
        <row r="123">
          <cell r="B123">
            <v>197.875</v>
          </cell>
          <cell r="C123">
            <v>10.375</v>
          </cell>
        </row>
        <row r="124">
          <cell r="B124">
            <v>197.9</v>
          </cell>
          <cell r="C124">
            <v>10.5</v>
          </cell>
        </row>
        <row r="125">
          <cell r="B125">
            <v>197.92500000000001</v>
          </cell>
          <cell r="C125">
            <v>10.625</v>
          </cell>
        </row>
        <row r="126">
          <cell r="B126">
            <v>197.95</v>
          </cell>
          <cell r="C126">
            <v>10.75</v>
          </cell>
        </row>
        <row r="127">
          <cell r="B127">
            <v>197.97499999999999</v>
          </cell>
          <cell r="C127">
            <v>10.875</v>
          </cell>
        </row>
        <row r="128">
          <cell r="B128">
            <v>198</v>
          </cell>
          <cell r="C128">
            <v>11</v>
          </cell>
        </row>
        <row r="129">
          <cell r="B129">
            <v>198.02500000000001</v>
          </cell>
          <cell r="C129">
            <v>11.15</v>
          </cell>
        </row>
        <row r="130">
          <cell r="B130">
            <v>198.05</v>
          </cell>
          <cell r="C130">
            <v>11.3</v>
          </cell>
        </row>
        <row r="131">
          <cell r="B131">
            <v>198.07499999999999</v>
          </cell>
          <cell r="C131">
            <v>11.45</v>
          </cell>
        </row>
        <row r="132">
          <cell r="B132">
            <v>198.1</v>
          </cell>
          <cell r="C132">
            <v>11.6</v>
          </cell>
        </row>
        <row r="133">
          <cell r="B133">
            <v>198.125</v>
          </cell>
          <cell r="C133">
            <v>11.75</v>
          </cell>
        </row>
        <row r="134">
          <cell r="B134">
            <v>198.15</v>
          </cell>
          <cell r="C134">
            <v>11.9</v>
          </cell>
        </row>
        <row r="135">
          <cell r="B135">
            <v>198.17500000000001</v>
          </cell>
          <cell r="C135">
            <v>12.05</v>
          </cell>
        </row>
        <row r="136">
          <cell r="B136">
            <v>198.2</v>
          </cell>
          <cell r="C136">
            <v>12.2</v>
          </cell>
        </row>
        <row r="137">
          <cell r="B137">
            <v>198.22499999999999</v>
          </cell>
          <cell r="C137">
            <v>12.35</v>
          </cell>
        </row>
        <row r="138">
          <cell r="B138">
            <v>198.25</v>
          </cell>
          <cell r="C138">
            <v>12.5</v>
          </cell>
        </row>
        <row r="139">
          <cell r="B139">
            <v>198.27500000000001</v>
          </cell>
          <cell r="C139">
            <v>12.65</v>
          </cell>
        </row>
        <row r="140">
          <cell r="B140">
            <v>198.3</v>
          </cell>
          <cell r="C140">
            <v>12.8</v>
          </cell>
        </row>
        <row r="141">
          <cell r="B141">
            <v>198.32499999999999</v>
          </cell>
          <cell r="C141">
            <v>12.95</v>
          </cell>
        </row>
        <row r="142">
          <cell r="B142">
            <v>198.35</v>
          </cell>
          <cell r="C142">
            <v>13.1</v>
          </cell>
        </row>
        <row r="143">
          <cell r="B143">
            <v>198.375</v>
          </cell>
          <cell r="C143">
            <v>13.25</v>
          </cell>
        </row>
        <row r="144">
          <cell r="B144">
            <v>198.4</v>
          </cell>
          <cell r="C144">
            <v>13.4</v>
          </cell>
        </row>
        <row r="145">
          <cell r="B145">
            <v>198.42500000000001</v>
          </cell>
          <cell r="C145">
            <v>13.55</v>
          </cell>
        </row>
        <row r="146">
          <cell r="B146">
            <v>198.45</v>
          </cell>
          <cell r="C146">
            <v>13.7</v>
          </cell>
        </row>
        <row r="147">
          <cell r="B147">
            <v>198.47499999999999</v>
          </cell>
          <cell r="C147">
            <v>13.85</v>
          </cell>
        </row>
        <row r="148">
          <cell r="B148">
            <v>198.5</v>
          </cell>
          <cell r="C148">
            <v>14</v>
          </cell>
        </row>
        <row r="149">
          <cell r="B149">
            <v>198.52500000000001</v>
          </cell>
          <cell r="C149">
            <v>14.2</v>
          </cell>
        </row>
        <row r="150">
          <cell r="B150">
            <v>198.55</v>
          </cell>
          <cell r="C150">
            <v>14.4</v>
          </cell>
        </row>
        <row r="151">
          <cell r="B151">
            <v>198.57499999999999</v>
          </cell>
          <cell r="C151">
            <v>14.6</v>
          </cell>
        </row>
        <row r="152">
          <cell r="B152">
            <v>198.6</v>
          </cell>
          <cell r="C152">
            <v>14.8</v>
          </cell>
        </row>
        <row r="153">
          <cell r="B153">
            <v>198.625</v>
          </cell>
          <cell r="C153">
            <v>15</v>
          </cell>
        </row>
        <row r="154">
          <cell r="B154">
            <v>198.65</v>
          </cell>
          <cell r="C154">
            <v>15.2</v>
          </cell>
        </row>
        <row r="155">
          <cell r="B155">
            <v>198.67500000000001</v>
          </cell>
          <cell r="C155">
            <v>15.4</v>
          </cell>
        </row>
        <row r="156">
          <cell r="B156">
            <v>198.7</v>
          </cell>
          <cell r="C156">
            <v>15.6</v>
          </cell>
        </row>
        <row r="157">
          <cell r="B157">
            <v>198.72499999999999</v>
          </cell>
          <cell r="C157">
            <v>15.8</v>
          </cell>
        </row>
        <row r="158">
          <cell r="B158">
            <v>198.75</v>
          </cell>
          <cell r="C158">
            <v>16</v>
          </cell>
        </row>
        <row r="159">
          <cell r="B159">
            <v>198.77500000000001</v>
          </cell>
          <cell r="C159">
            <v>16.2</v>
          </cell>
        </row>
        <row r="160">
          <cell r="B160">
            <v>198.8</v>
          </cell>
          <cell r="C160">
            <v>16.399999999999999</v>
          </cell>
        </row>
        <row r="161">
          <cell r="B161">
            <v>198.82499999999999</v>
          </cell>
          <cell r="C161">
            <v>16.600000000000001</v>
          </cell>
        </row>
        <row r="162">
          <cell r="B162">
            <v>198.85</v>
          </cell>
          <cell r="C162">
            <v>16.8</v>
          </cell>
        </row>
        <row r="163">
          <cell r="B163">
            <v>198.875</v>
          </cell>
          <cell r="C163">
            <v>17</v>
          </cell>
        </row>
        <row r="164">
          <cell r="B164">
            <v>198.9</v>
          </cell>
          <cell r="C164">
            <v>17.2</v>
          </cell>
        </row>
        <row r="165">
          <cell r="B165">
            <v>198.92500000000001</v>
          </cell>
          <cell r="C165">
            <v>17.399999999999999</v>
          </cell>
        </row>
        <row r="166">
          <cell r="B166">
            <v>198.95</v>
          </cell>
          <cell r="C166">
            <v>17.600000000000001</v>
          </cell>
        </row>
        <row r="167">
          <cell r="B167">
            <v>198.97499999999999</v>
          </cell>
          <cell r="C167">
            <v>17.8</v>
          </cell>
        </row>
        <row r="168">
          <cell r="B168">
            <v>199</v>
          </cell>
          <cell r="C168">
            <v>18</v>
          </cell>
        </row>
        <row r="169">
          <cell r="B169">
            <v>199.02500000000001</v>
          </cell>
          <cell r="C169">
            <v>18.2</v>
          </cell>
        </row>
        <row r="170">
          <cell r="B170">
            <v>199.05</v>
          </cell>
          <cell r="C170">
            <v>18.399999999999999</v>
          </cell>
        </row>
        <row r="171">
          <cell r="B171">
            <v>199.07499999999999</v>
          </cell>
          <cell r="C171">
            <v>18.600000000000001</v>
          </cell>
        </row>
        <row r="172">
          <cell r="B172">
            <v>199.1</v>
          </cell>
          <cell r="C172">
            <v>18.8</v>
          </cell>
        </row>
        <row r="173">
          <cell r="B173">
            <v>199.125</v>
          </cell>
          <cell r="C173">
            <v>19</v>
          </cell>
        </row>
        <row r="174">
          <cell r="B174">
            <v>199.15</v>
          </cell>
          <cell r="C174">
            <v>19.2</v>
          </cell>
        </row>
        <row r="175">
          <cell r="B175">
            <v>199.17500000000001</v>
          </cell>
          <cell r="C175">
            <v>19.399999999999999</v>
          </cell>
        </row>
        <row r="176">
          <cell r="B176">
            <v>199.2</v>
          </cell>
          <cell r="C176">
            <v>19.600000000000001</v>
          </cell>
        </row>
        <row r="177">
          <cell r="B177">
            <v>199.22499999999999</v>
          </cell>
          <cell r="C177">
            <v>19.8</v>
          </cell>
        </row>
        <row r="178">
          <cell r="B178">
            <v>199.25</v>
          </cell>
          <cell r="C178">
            <v>20</v>
          </cell>
        </row>
        <row r="179">
          <cell r="B179">
            <v>199.27500000000001</v>
          </cell>
          <cell r="C179">
            <v>20.2</v>
          </cell>
        </row>
        <row r="180">
          <cell r="B180">
            <v>199.3</v>
          </cell>
          <cell r="C180">
            <v>20.399999999999999</v>
          </cell>
        </row>
        <row r="181">
          <cell r="B181">
            <v>199.32499999999999</v>
          </cell>
          <cell r="C181">
            <v>20.6</v>
          </cell>
        </row>
        <row r="182">
          <cell r="B182">
            <v>199.35</v>
          </cell>
          <cell r="C182">
            <v>20.8</v>
          </cell>
        </row>
        <row r="183">
          <cell r="B183">
            <v>199.375</v>
          </cell>
          <cell r="C183">
            <v>21</v>
          </cell>
        </row>
        <row r="184">
          <cell r="B184">
            <v>199.4</v>
          </cell>
          <cell r="C184">
            <v>21.2</v>
          </cell>
        </row>
        <row r="185">
          <cell r="B185">
            <v>199.42500000000001</v>
          </cell>
          <cell r="C185">
            <v>21.4</v>
          </cell>
        </row>
        <row r="186">
          <cell r="B186">
            <v>199.45</v>
          </cell>
          <cell r="C186">
            <v>21.6</v>
          </cell>
        </row>
        <row r="187">
          <cell r="B187">
            <v>199.47499999999999</v>
          </cell>
          <cell r="C187">
            <v>21.8</v>
          </cell>
        </row>
        <row r="188">
          <cell r="B188">
            <v>199.5</v>
          </cell>
          <cell r="C188">
            <v>22</v>
          </cell>
        </row>
        <row r="189">
          <cell r="B189">
            <v>199.52500000000001</v>
          </cell>
          <cell r="C189">
            <v>22.274999999999999</v>
          </cell>
        </row>
        <row r="190">
          <cell r="B190">
            <v>199.55</v>
          </cell>
          <cell r="C190">
            <v>22.55</v>
          </cell>
        </row>
        <row r="191">
          <cell r="B191">
            <v>199.57499999999999</v>
          </cell>
          <cell r="C191">
            <v>22.824999999999999</v>
          </cell>
        </row>
        <row r="192">
          <cell r="B192">
            <v>199.6</v>
          </cell>
          <cell r="C192">
            <v>23.1</v>
          </cell>
        </row>
        <row r="193">
          <cell r="B193">
            <v>199.625</v>
          </cell>
          <cell r="C193">
            <v>23.375</v>
          </cell>
        </row>
        <row r="194">
          <cell r="B194">
            <v>199.65</v>
          </cell>
          <cell r="C194">
            <v>23.65</v>
          </cell>
        </row>
        <row r="195">
          <cell r="B195">
            <v>199.67500000000001</v>
          </cell>
          <cell r="C195">
            <v>23.925000000000001</v>
          </cell>
        </row>
        <row r="196">
          <cell r="B196">
            <v>199.7</v>
          </cell>
          <cell r="C196">
            <v>24.2</v>
          </cell>
        </row>
        <row r="197">
          <cell r="B197">
            <v>199.72499999999999</v>
          </cell>
          <cell r="C197">
            <v>24.475000000000001</v>
          </cell>
        </row>
        <row r="198">
          <cell r="B198">
            <v>199.75</v>
          </cell>
          <cell r="C198">
            <v>24.75</v>
          </cell>
        </row>
        <row r="199">
          <cell r="B199">
            <v>199.77500000000001</v>
          </cell>
          <cell r="C199">
            <v>25.024999999999999</v>
          </cell>
        </row>
        <row r="200">
          <cell r="B200">
            <v>199.8</v>
          </cell>
          <cell r="C200">
            <v>25.3</v>
          </cell>
        </row>
        <row r="201">
          <cell r="B201">
            <v>199.82499999999999</v>
          </cell>
          <cell r="C201">
            <v>25.574999999999999</v>
          </cell>
        </row>
        <row r="202">
          <cell r="B202">
            <v>199.85</v>
          </cell>
          <cell r="C202">
            <v>25.85</v>
          </cell>
        </row>
        <row r="203">
          <cell r="B203">
            <v>199.875</v>
          </cell>
          <cell r="C203">
            <v>26.125</v>
          </cell>
        </row>
        <row r="204">
          <cell r="B204">
            <v>199.9</v>
          </cell>
          <cell r="C204">
            <v>26.4</v>
          </cell>
        </row>
        <row r="205">
          <cell r="B205">
            <v>199.92500000000001</v>
          </cell>
          <cell r="C205">
            <v>26.675000000000001</v>
          </cell>
        </row>
        <row r="206">
          <cell r="B206">
            <v>199.95</v>
          </cell>
          <cell r="C206">
            <v>26.95</v>
          </cell>
        </row>
        <row r="207">
          <cell r="B207">
            <v>199.97499999999999</v>
          </cell>
          <cell r="C207">
            <v>27.225000000000001</v>
          </cell>
        </row>
        <row r="208">
          <cell r="B208">
            <v>200</v>
          </cell>
          <cell r="C208">
            <v>27.5</v>
          </cell>
        </row>
        <row r="209">
          <cell r="B209">
            <v>200.02500000000001</v>
          </cell>
          <cell r="C209">
            <v>27.8</v>
          </cell>
        </row>
        <row r="210">
          <cell r="B210">
            <v>200.05</v>
          </cell>
          <cell r="C210">
            <v>28.1</v>
          </cell>
        </row>
        <row r="211">
          <cell r="B211">
            <v>200.07499999999999</v>
          </cell>
          <cell r="C211">
            <v>28.4</v>
          </cell>
        </row>
        <row r="212">
          <cell r="B212">
            <v>200.1</v>
          </cell>
          <cell r="C212">
            <v>28.7</v>
          </cell>
        </row>
        <row r="213">
          <cell r="B213">
            <v>200.12500000000108</v>
          </cell>
          <cell r="C213">
            <v>29</v>
          </cell>
        </row>
        <row r="214">
          <cell r="B214">
            <v>200.15000000000109</v>
          </cell>
          <cell r="C214">
            <v>29.3</v>
          </cell>
        </row>
        <row r="215">
          <cell r="B215">
            <v>200.17500000000109</v>
          </cell>
          <cell r="C215">
            <v>29.6</v>
          </cell>
        </row>
        <row r="216">
          <cell r="B216">
            <v>200.2000000000011</v>
          </cell>
          <cell r="C216">
            <v>29.9</v>
          </cell>
        </row>
        <row r="217">
          <cell r="B217">
            <v>200.2250000000011</v>
          </cell>
          <cell r="C217">
            <v>30.2</v>
          </cell>
        </row>
        <row r="218">
          <cell r="B218">
            <v>200.25000000000111</v>
          </cell>
          <cell r="C218">
            <v>30.5</v>
          </cell>
        </row>
        <row r="219">
          <cell r="B219">
            <v>200.27500000000111</v>
          </cell>
          <cell r="C219">
            <v>30.8</v>
          </cell>
        </row>
        <row r="220">
          <cell r="B220">
            <v>200.30000000000112</v>
          </cell>
          <cell r="C220">
            <v>31.1</v>
          </cell>
        </row>
        <row r="221">
          <cell r="B221">
            <v>200.32500000000113</v>
          </cell>
          <cell r="C221">
            <v>31.4</v>
          </cell>
        </row>
        <row r="222">
          <cell r="B222">
            <v>200.35000000000113</v>
          </cell>
          <cell r="C222">
            <v>31.7</v>
          </cell>
        </row>
        <row r="223">
          <cell r="B223">
            <v>200.37500000000114</v>
          </cell>
          <cell r="C223">
            <v>32</v>
          </cell>
        </row>
        <row r="224">
          <cell r="B224">
            <v>200.40000000000114</v>
          </cell>
          <cell r="C224">
            <v>32.299999999999997</v>
          </cell>
        </row>
        <row r="225">
          <cell r="B225">
            <v>200.42500000000115</v>
          </cell>
          <cell r="C225">
            <v>32.6</v>
          </cell>
        </row>
        <row r="226">
          <cell r="B226">
            <v>200.45000000000115</v>
          </cell>
          <cell r="C226">
            <v>32.9</v>
          </cell>
        </row>
        <row r="227">
          <cell r="B227">
            <v>200.47500000000116</v>
          </cell>
          <cell r="C227">
            <v>33.200000000000003</v>
          </cell>
        </row>
        <row r="228">
          <cell r="B228">
            <v>200.5</v>
          </cell>
          <cell r="C228">
            <v>33.49999999999995</v>
          </cell>
        </row>
        <row r="229">
          <cell r="B229">
            <v>200.52500000000001</v>
          </cell>
          <cell r="C229">
            <v>33.87499999999995</v>
          </cell>
        </row>
        <row r="230">
          <cell r="B230">
            <v>200.55</v>
          </cell>
          <cell r="C230">
            <v>34.24999999999995</v>
          </cell>
        </row>
        <row r="231">
          <cell r="B231">
            <v>200.57499999999999</v>
          </cell>
          <cell r="C231">
            <v>34.62499999999995</v>
          </cell>
        </row>
        <row r="232">
          <cell r="B232">
            <v>200.6</v>
          </cell>
          <cell r="C232">
            <v>34.99999999999995</v>
          </cell>
        </row>
        <row r="233">
          <cell r="B233">
            <v>200.625</v>
          </cell>
          <cell r="C233">
            <v>35.37499999999995</v>
          </cell>
        </row>
        <row r="234">
          <cell r="B234">
            <v>200.65</v>
          </cell>
          <cell r="C234">
            <v>35.74999999999995</v>
          </cell>
        </row>
        <row r="235">
          <cell r="B235">
            <v>200.67500000000001</v>
          </cell>
          <cell r="C235">
            <v>36.12499999999995</v>
          </cell>
        </row>
        <row r="236">
          <cell r="B236">
            <v>200.7</v>
          </cell>
          <cell r="C236">
            <v>36.49999999999995</v>
          </cell>
        </row>
        <row r="237">
          <cell r="B237">
            <v>200.72499999999999</v>
          </cell>
          <cell r="C237">
            <v>36.87499999999995</v>
          </cell>
        </row>
        <row r="238">
          <cell r="B238">
            <v>200.75</v>
          </cell>
          <cell r="C238">
            <v>37.24999999999995</v>
          </cell>
        </row>
        <row r="239">
          <cell r="B239">
            <v>200.77500000000001</v>
          </cell>
          <cell r="C239">
            <v>37.62499999999995</v>
          </cell>
        </row>
        <row r="240">
          <cell r="B240">
            <v>200.8</v>
          </cell>
          <cell r="C240">
            <v>37.99999999999995</v>
          </cell>
        </row>
        <row r="241">
          <cell r="B241">
            <v>200.82499999999999</v>
          </cell>
          <cell r="C241">
            <v>38.37499999999995</v>
          </cell>
        </row>
        <row r="242">
          <cell r="B242">
            <v>200.85</v>
          </cell>
          <cell r="C242">
            <v>38.74999999999995</v>
          </cell>
        </row>
        <row r="243">
          <cell r="B243">
            <v>200.875</v>
          </cell>
          <cell r="C243">
            <v>39.12499999999995</v>
          </cell>
        </row>
        <row r="244">
          <cell r="B244">
            <v>200.9</v>
          </cell>
          <cell r="C244">
            <v>39.49999999999995</v>
          </cell>
        </row>
        <row r="245">
          <cell r="B245">
            <v>200.92500000000001</v>
          </cell>
          <cell r="C245">
            <v>39.87499999999995</v>
          </cell>
        </row>
        <row r="246">
          <cell r="B246">
            <v>200.95</v>
          </cell>
          <cell r="C246">
            <v>40.24999999999995</v>
          </cell>
        </row>
        <row r="247">
          <cell r="B247">
            <v>200.97499999999999</v>
          </cell>
          <cell r="C247">
            <v>40.62499999999995</v>
          </cell>
        </row>
        <row r="248">
          <cell r="B248">
            <v>201</v>
          </cell>
          <cell r="C248">
            <v>41</v>
          </cell>
        </row>
        <row r="249">
          <cell r="B249">
            <v>201.02500000000001</v>
          </cell>
          <cell r="C249">
            <v>41.375</v>
          </cell>
        </row>
        <row r="250">
          <cell r="B250">
            <v>201.05</v>
          </cell>
          <cell r="C250">
            <v>41.75</v>
          </cell>
        </row>
        <row r="251">
          <cell r="B251">
            <v>201.07499999999999</v>
          </cell>
          <cell r="C251">
            <v>42.125</v>
          </cell>
        </row>
        <row r="252">
          <cell r="B252">
            <v>201.1</v>
          </cell>
          <cell r="C252">
            <v>42.5</v>
          </cell>
        </row>
        <row r="253">
          <cell r="B253">
            <v>201.125</v>
          </cell>
          <cell r="C253">
            <v>42.875</v>
          </cell>
        </row>
        <row r="254">
          <cell r="B254">
            <v>201.15</v>
          </cell>
          <cell r="C254">
            <v>43.25</v>
          </cell>
        </row>
        <row r="255">
          <cell r="B255">
            <v>201.17500000000001</v>
          </cell>
          <cell r="C255">
            <v>43.625</v>
          </cell>
        </row>
        <row r="256">
          <cell r="B256">
            <v>201.2</v>
          </cell>
          <cell r="C256">
            <v>44</v>
          </cell>
        </row>
        <row r="257">
          <cell r="B257">
            <v>201.22499999999999</v>
          </cell>
          <cell r="C257">
            <v>44.375</v>
          </cell>
        </row>
        <row r="258">
          <cell r="B258">
            <v>201.25</v>
          </cell>
          <cell r="C258">
            <v>44.75</v>
          </cell>
        </row>
        <row r="259">
          <cell r="B259">
            <v>201.27500000000001</v>
          </cell>
          <cell r="C259">
            <v>45.125</v>
          </cell>
        </row>
        <row r="260">
          <cell r="B260">
            <v>201.3</v>
          </cell>
          <cell r="C260">
            <v>45.5</v>
          </cell>
        </row>
        <row r="261">
          <cell r="B261">
            <v>201.32499999999999</v>
          </cell>
          <cell r="C261">
            <v>45.875</v>
          </cell>
        </row>
        <row r="262">
          <cell r="B262">
            <v>201.35</v>
          </cell>
          <cell r="C262">
            <v>46.25</v>
          </cell>
        </row>
        <row r="263">
          <cell r="B263">
            <v>201.375</v>
          </cell>
          <cell r="C263">
            <v>46.625</v>
          </cell>
        </row>
        <row r="264">
          <cell r="B264">
            <v>201.4</v>
          </cell>
          <cell r="C264">
            <v>47</v>
          </cell>
        </row>
        <row r="265">
          <cell r="B265">
            <v>201.42500000000001</v>
          </cell>
          <cell r="C265">
            <v>47.375</v>
          </cell>
        </row>
        <row r="266">
          <cell r="B266">
            <v>201.45</v>
          </cell>
          <cell r="C266">
            <v>47.75</v>
          </cell>
        </row>
        <row r="267">
          <cell r="B267">
            <v>201.47499999999999</v>
          </cell>
          <cell r="C267">
            <v>48.125</v>
          </cell>
        </row>
        <row r="268">
          <cell r="B268">
            <v>201.5</v>
          </cell>
          <cell r="C268">
            <v>48.5</v>
          </cell>
        </row>
        <row r="269">
          <cell r="B269">
            <v>201.52500000000001</v>
          </cell>
          <cell r="C269">
            <v>48.924999999999997</v>
          </cell>
        </row>
        <row r="270">
          <cell r="B270">
            <v>201.55</v>
          </cell>
          <cell r="C270">
            <v>49.35</v>
          </cell>
        </row>
        <row r="271">
          <cell r="B271">
            <v>201.57499999999999</v>
          </cell>
          <cell r="C271">
            <v>49.774999999999999</v>
          </cell>
        </row>
        <row r="272">
          <cell r="B272">
            <v>201.6</v>
          </cell>
          <cell r="C272">
            <v>50.2</v>
          </cell>
        </row>
        <row r="273">
          <cell r="B273">
            <v>201.625</v>
          </cell>
          <cell r="C273">
            <v>50.625</v>
          </cell>
        </row>
        <row r="274">
          <cell r="B274">
            <v>201.65</v>
          </cell>
          <cell r="C274">
            <v>51.05</v>
          </cell>
        </row>
        <row r="275">
          <cell r="B275">
            <v>201.67500000000001</v>
          </cell>
          <cell r="C275">
            <v>51.475000000000001</v>
          </cell>
        </row>
        <row r="276">
          <cell r="B276">
            <v>201.7</v>
          </cell>
          <cell r="C276">
            <v>51.9</v>
          </cell>
        </row>
        <row r="277">
          <cell r="B277">
            <v>201.72499999999999</v>
          </cell>
          <cell r="C277">
            <v>52.325000000000003</v>
          </cell>
        </row>
        <row r="278">
          <cell r="B278">
            <v>201.75</v>
          </cell>
          <cell r="C278">
            <v>52.75</v>
          </cell>
        </row>
        <row r="279">
          <cell r="B279">
            <v>201.77500000000001</v>
          </cell>
          <cell r="C279">
            <v>53.174999999999997</v>
          </cell>
        </row>
        <row r="280">
          <cell r="B280">
            <v>201.8</v>
          </cell>
          <cell r="C280">
            <v>53.6</v>
          </cell>
        </row>
        <row r="281">
          <cell r="B281">
            <v>201.82499999999999</v>
          </cell>
          <cell r="C281">
            <v>54.024999999999999</v>
          </cell>
        </row>
        <row r="282">
          <cell r="B282">
            <v>201.85</v>
          </cell>
          <cell r="C282">
            <v>54.45</v>
          </cell>
        </row>
        <row r="283">
          <cell r="B283">
            <v>201.875</v>
          </cell>
          <cell r="C283">
            <v>54.875</v>
          </cell>
        </row>
        <row r="284">
          <cell r="B284">
            <v>201.9</v>
          </cell>
          <cell r="C284">
            <v>55.3</v>
          </cell>
        </row>
        <row r="285">
          <cell r="B285">
            <v>201.92500000000001</v>
          </cell>
          <cell r="C285">
            <v>55.725000000000001</v>
          </cell>
        </row>
        <row r="286">
          <cell r="B286">
            <v>201.95</v>
          </cell>
          <cell r="C286">
            <v>56.15</v>
          </cell>
        </row>
        <row r="287">
          <cell r="B287">
            <v>201.97499999999999</v>
          </cell>
          <cell r="C287">
            <v>56.575000000000003</v>
          </cell>
        </row>
        <row r="288">
          <cell r="B288">
            <v>202</v>
          </cell>
          <cell r="C288">
            <v>57</v>
          </cell>
        </row>
        <row r="289">
          <cell r="B289">
            <v>202.02500000000001</v>
          </cell>
          <cell r="C289">
            <v>57.475000000000001</v>
          </cell>
        </row>
        <row r="290">
          <cell r="B290">
            <v>202.05</v>
          </cell>
          <cell r="C290">
            <v>57.95</v>
          </cell>
        </row>
        <row r="291">
          <cell r="B291">
            <v>202.07499999999999</v>
          </cell>
          <cell r="C291">
            <v>58.424999999999997</v>
          </cell>
        </row>
        <row r="292">
          <cell r="B292">
            <v>202.1</v>
          </cell>
          <cell r="C292">
            <v>58.9</v>
          </cell>
        </row>
        <row r="293">
          <cell r="B293">
            <v>202.125</v>
          </cell>
          <cell r="C293">
            <v>59.375</v>
          </cell>
        </row>
        <row r="294">
          <cell r="B294">
            <v>202.15</v>
          </cell>
          <cell r="C294">
            <v>59.85</v>
          </cell>
        </row>
        <row r="295">
          <cell r="B295">
            <v>202.17500000000001</v>
          </cell>
          <cell r="C295">
            <v>60.325000000000003</v>
          </cell>
        </row>
        <row r="296">
          <cell r="B296">
            <v>202.2</v>
          </cell>
          <cell r="C296">
            <v>60.8</v>
          </cell>
        </row>
        <row r="297">
          <cell r="B297">
            <v>202.22499999999999</v>
          </cell>
          <cell r="C297">
            <v>61.274999999999999</v>
          </cell>
        </row>
        <row r="298">
          <cell r="B298">
            <v>202.25</v>
          </cell>
          <cell r="C298">
            <v>61.75</v>
          </cell>
        </row>
        <row r="299">
          <cell r="B299">
            <v>202.27500000000001</v>
          </cell>
          <cell r="C299">
            <v>62.225000000000001</v>
          </cell>
        </row>
        <row r="300">
          <cell r="B300">
            <v>202.3</v>
          </cell>
          <cell r="C300">
            <v>62.7</v>
          </cell>
        </row>
        <row r="301">
          <cell r="B301">
            <v>202.32499999999999</v>
          </cell>
          <cell r="C301">
            <v>63.174999999999997</v>
          </cell>
        </row>
        <row r="302">
          <cell r="B302">
            <v>202.35</v>
          </cell>
          <cell r="C302">
            <v>63.65</v>
          </cell>
        </row>
        <row r="303">
          <cell r="B303">
            <v>202.375</v>
          </cell>
          <cell r="C303">
            <v>64.125</v>
          </cell>
        </row>
        <row r="304">
          <cell r="B304">
            <v>202.4</v>
          </cell>
          <cell r="C304">
            <v>64.599999999999994</v>
          </cell>
        </row>
        <row r="305">
          <cell r="B305">
            <v>202.42500000000001</v>
          </cell>
          <cell r="C305">
            <v>65.075000000000003</v>
          </cell>
        </row>
        <row r="306">
          <cell r="B306">
            <v>202.45</v>
          </cell>
          <cell r="C306">
            <v>65.55</v>
          </cell>
        </row>
        <row r="307">
          <cell r="B307">
            <v>202.47499999999999</v>
          </cell>
          <cell r="C307">
            <v>66.025000000000006</v>
          </cell>
        </row>
        <row r="308">
          <cell r="B308">
            <v>202.5</v>
          </cell>
          <cell r="C308">
            <v>66.5</v>
          </cell>
        </row>
        <row r="309">
          <cell r="B309">
            <v>202.52500000000001</v>
          </cell>
          <cell r="C309">
            <v>67.099999999999994</v>
          </cell>
        </row>
        <row r="310">
          <cell r="B310">
            <v>202.55</v>
          </cell>
          <cell r="C310">
            <v>67.7</v>
          </cell>
        </row>
        <row r="311">
          <cell r="B311">
            <v>202.57499999999999</v>
          </cell>
          <cell r="C311">
            <v>68.3</v>
          </cell>
        </row>
        <row r="312">
          <cell r="B312">
            <v>202.6</v>
          </cell>
          <cell r="C312">
            <v>68.900000000000006</v>
          </cell>
        </row>
        <row r="313">
          <cell r="B313">
            <v>202.625</v>
          </cell>
          <cell r="C313">
            <v>69.5</v>
          </cell>
        </row>
        <row r="314">
          <cell r="B314">
            <v>202.65</v>
          </cell>
          <cell r="C314">
            <v>70.099999999999994</v>
          </cell>
        </row>
        <row r="315">
          <cell r="B315">
            <v>202.67500000000001</v>
          </cell>
          <cell r="C315">
            <v>70.7</v>
          </cell>
        </row>
        <row r="316">
          <cell r="B316">
            <v>202.7</v>
          </cell>
          <cell r="C316">
            <v>71.3</v>
          </cell>
        </row>
        <row r="317">
          <cell r="B317">
            <v>202.72499999999999</v>
          </cell>
          <cell r="C317">
            <v>71.900000000000006</v>
          </cell>
        </row>
        <row r="318">
          <cell r="B318">
            <v>202.75</v>
          </cell>
          <cell r="C318">
            <v>72.5</v>
          </cell>
        </row>
        <row r="319">
          <cell r="B319">
            <v>202.77500000000001</v>
          </cell>
          <cell r="C319">
            <v>73.099999999999994</v>
          </cell>
        </row>
        <row r="320">
          <cell r="B320">
            <v>202.8</v>
          </cell>
          <cell r="C320">
            <v>73.7</v>
          </cell>
        </row>
        <row r="321">
          <cell r="B321">
            <v>202.82499999999999</v>
          </cell>
          <cell r="C321">
            <v>74.3</v>
          </cell>
        </row>
        <row r="322">
          <cell r="B322">
            <v>202.85</v>
          </cell>
          <cell r="C322">
            <v>74.900000000000006</v>
          </cell>
        </row>
        <row r="323">
          <cell r="B323">
            <v>202.875</v>
          </cell>
          <cell r="C323">
            <v>75.5</v>
          </cell>
        </row>
        <row r="324">
          <cell r="B324">
            <v>202.9</v>
          </cell>
          <cell r="C324">
            <v>76.099999999999994</v>
          </cell>
        </row>
        <row r="325">
          <cell r="B325">
            <v>202.92500000000001</v>
          </cell>
          <cell r="C325">
            <v>76.7</v>
          </cell>
        </row>
        <row r="326">
          <cell r="B326">
            <v>202.95</v>
          </cell>
          <cell r="C326">
            <v>77.3</v>
          </cell>
        </row>
        <row r="327">
          <cell r="B327">
            <v>202.97499999999999</v>
          </cell>
          <cell r="C327">
            <v>77.900000000000006</v>
          </cell>
        </row>
        <row r="328">
          <cell r="B328">
            <v>203</v>
          </cell>
          <cell r="C328">
            <v>78.5</v>
          </cell>
        </row>
        <row r="329">
          <cell r="B329">
            <v>203.02500000000001</v>
          </cell>
          <cell r="C329">
            <v>79.075000000000003</v>
          </cell>
        </row>
        <row r="330">
          <cell r="B330">
            <v>203.05</v>
          </cell>
          <cell r="C330">
            <v>79.650000000000006</v>
          </cell>
        </row>
        <row r="331">
          <cell r="B331">
            <v>203.07499999999999</v>
          </cell>
          <cell r="C331">
            <v>80.224999999999994</v>
          </cell>
        </row>
        <row r="332">
          <cell r="B332">
            <v>203.1</v>
          </cell>
          <cell r="C332">
            <v>80.8</v>
          </cell>
        </row>
        <row r="333">
          <cell r="B333">
            <v>203.125</v>
          </cell>
          <cell r="C333">
            <v>81.375</v>
          </cell>
        </row>
        <row r="334">
          <cell r="B334">
            <v>203.15</v>
          </cell>
          <cell r="C334">
            <v>81.95</v>
          </cell>
        </row>
        <row r="335">
          <cell r="B335">
            <v>203.17500000000001</v>
          </cell>
          <cell r="C335">
            <v>82.525000000000006</v>
          </cell>
        </row>
        <row r="336">
          <cell r="B336">
            <v>203.2</v>
          </cell>
          <cell r="C336">
            <v>83.1</v>
          </cell>
        </row>
        <row r="337">
          <cell r="B337">
            <v>203.22499999999999</v>
          </cell>
          <cell r="C337">
            <v>83.674999999999997</v>
          </cell>
        </row>
        <row r="338">
          <cell r="B338">
            <v>203.25</v>
          </cell>
          <cell r="C338">
            <v>84.25</v>
          </cell>
        </row>
        <row r="339">
          <cell r="B339">
            <v>203.27500000000001</v>
          </cell>
          <cell r="C339">
            <v>84.825000000000003</v>
          </cell>
        </row>
        <row r="340">
          <cell r="B340">
            <v>203.3</v>
          </cell>
          <cell r="C340">
            <v>85.4</v>
          </cell>
        </row>
        <row r="341">
          <cell r="B341">
            <v>203.32499999999999</v>
          </cell>
          <cell r="C341">
            <v>85.974999999999994</v>
          </cell>
        </row>
        <row r="342">
          <cell r="B342">
            <v>203.35</v>
          </cell>
          <cell r="C342">
            <v>86.55</v>
          </cell>
        </row>
        <row r="343">
          <cell r="B343">
            <v>203.375</v>
          </cell>
          <cell r="C343">
            <v>87.125</v>
          </cell>
        </row>
        <row r="344">
          <cell r="B344">
            <v>203.4</v>
          </cell>
          <cell r="C344">
            <v>87.7</v>
          </cell>
        </row>
        <row r="345">
          <cell r="B345">
            <v>203.42500000000001</v>
          </cell>
          <cell r="C345">
            <v>88.275000000000006</v>
          </cell>
        </row>
        <row r="346">
          <cell r="B346">
            <v>203.45</v>
          </cell>
          <cell r="C346">
            <v>88.85</v>
          </cell>
        </row>
        <row r="347">
          <cell r="B347">
            <v>203.47499999999999</v>
          </cell>
          <cell r="C347">
            <v>89.424999999999997</v>
          </cell>
        </row>
        <row r="348">
          <cell r="B348">
            <v>203.5</v>
          </cell>
          <cell r="C348">
            <v>90</v>
          </cell>
        </row>
        <row r="349">
          <cell r="B349">
            <v>203.52500000000001</v>
          </cell>
          <cell r="C349">
            <v>90.8</v>
          </cell>
        </row>
        <row r="350">
          <cell r="B350">
            <v>203.55</v>
          </cell>
          <cell r="C350">
            <v>91.6</v>
          </cell>
        </row>
        <row r="351">
          <cell r="B351">
            <v>203.57499999999999</v>
          </cell>
          <cell r="C351">
            <v>92.4</v>
          </cell>
        </row>
        <row r="352">
          <cell r="B352">
            <v>203.6</v>
          </cell>
          <cell r="C352">
            <v>93.2</v>
          </cell>
        </row>
        <row r="353">
          <cell r="B353">
            <v>203.625</v>
          </cell>
          <cell r="C353">
            <v>94</v>
          </cell>
        </row>
        <row r="354">
          <cell r="B354">
            <v>203.65</v>
          </cell>
          <cell r="C354">
            <v>94.8</v>
          </cell>
        </row>
        <row r="355">
          <cell r="B355">
            <v>203.67500000000001</v>
          </cell>
          <cell r="C355">
            <v>95.6</v>
          </cell>
        </row>
        <row r="356">
          <cell r="B356">
            <v>203.7</v>
          </cell>
          <cell r="C356">
            <v>96.4</v>
          </cell>
        </row>
        <row r="357">
          <cell r="B357">
            <v>203.72499999999999</v>
          </cell>
          <cell r="C357">
            <v>97.2</v>
          </cell>
        </row>
        <row r="358">
          <cell r="B358">
            <v>203.75</v>
          </cell>
          <cell r="C358">
            <v>98</v>
          </cell>
        </row>
        <row r="359">
          <cell r="B359">
            <v>203.77500000000001</v>
          </cell>
          <cell r="C359">
            <v>98.8</v>
          </cell>
        </row>
        <row r="360">
          <cell r="B360">
            <v>203.8</v>
          </cell>
          <cell r="C360">
            <v>99.6</v>
          </cell>
        </row>
        <row r="361">
          <cell r="B361">
            <v>203.82499999999999</v>
          </cell>
          <cell r="C361">
            <v>100.4</v>
          </cell>
        </row>
        <row r="362">
          <cell r="B362">
            <v>203.85</v>
          </cell>
          <cell r="C362">
            <v>101.2</v>
          </cell>
        </row>
        <row r="363">
          <cell r="B363">
            <v>203.875</v>
          </cell>
          <cell r="C363">
            <v>102</v>
          </cell>
        </row>
        <row r="364">
          <cell r="B364">
            <v>203.9</v>
          </cell>
          <cell r="C364">
            <v>102.8</v>
          </cell>
        </row>
        <row r="365">
          <cell r="B365">
            <v>203.92500000000001</v>
          </cell>
          <cell r="C365">
            <v>103.6</v>
          </cell>
        </row>
        <row r="366">
          <cell r="B366">
            <v>203.95</v>
          </cell>
          <cell r="C366">
            <v>104.4</v>
          </cell>
        </row>
        <row r="367">
          <cell r="B367">
            <v>203.97499999999999</v>
          </cell>
          <cell r="C367">
            <v>105.2</v>
          </cell>
        </row>
        <row r="368">
          <cell r="B368">
            <v>204</v>
          </cell>
          <cell r="C368">
            <v>106</v>
          </cell>
        </row>
        <row r="369">
          <cell r="B369">
            <v>204.02500000000001</v>
          </cell>
          <cell r="C369">
            <v>106.825</v>
          </cell>
        </row>
        <row r="370">
          <cell r="B370">
            <v>204.05</v>
          </cell>
          <cell r="C370">
            <v>107.65</v>
          </cell>
        </row>
        <row r="371">
          <cell r="B371">
            <v>204.07499999999999</v>
          </cell>
          <cell r="C371">
            <v>108.47499999999999</v>
          </cell>
        </row>
        <row r="372">
          <cell r="B372">
            <v>204.1</v>
          </cell>
          <cell r="C372">
            <v>109.3</v>
          </cell>
        </row>
        <row r="373">
          <cell r="B373">
            <v>204.125</v>
          </cell>
          <cell r="C373">
            <v>110.125</v>
          </cell>
        </row>
        <row r="374">
          <cell r="B374">
            <v>204.15</v>
          </cell>
          <cell r="C374">
            <v>110.95</v>
          </cell>
        </row>
        <row r="375">
          <cell r="B375">
            <v>204.17500000000001</v>
          </cell>
          <cell r="C375">
            <v>111.77500000000001</v>
          </cell>
        </row>
        <row r="376">
          <cell r="B376">
            <v>204.2</v>
          </cell>
          <cell r="C376">
            <v>112.6</v>
          </cell>
        </row>
        <row r="377">
          <cell r="B377">
            <v>204.22499999999999</v>
          </cell>
          <cell r="C377">
            <v>113.425</v>
          </cell>
        </row>
        <row r="378">
          <cell r="B378">
            <v>204.25</v>
          </cell>
          <cell r="C378">
            <v>114.25</v>
          </cell>
        </row>
        <row r="379">
          <cell r="B379">
            <v>204.27500000000001</v>
          </cell>
          <cell r="C379">
            <v>115.075</v>
          </cell>
        </row>
        <row r="380">
          <cell r="B380">
            <v>204.3</v>
          </cell>
          <cell r="C380">
            <v>115.9</v>
          </cell>
        </row>
        <row r="381">
          <cell r="B381">
            <v>204.32499999999999</v>
          </cell>
          <cell r="C381">
            <v>116.72499999999999</v>
          </cell>
        </row>
        <row r="382">
          <cell r="B382">
            <v>204.35</v>
          </cell>
          <cell r="C382">
            <v>117.55</v>
          </cell>
        </row>
        <row r="383">
          <cell r="B383">
            <v>204.375</v>
          </cell>
          <cell r="C383">
            <v>118.375</v>
          </cell>
        </row>
        <row r="384">
          <cell r="B384">
            <v>204.4</v>
          </cell>
          <cell r="C384">
            <v>119.2</v>
          </cell>
        </row>
        <row r="385">
          <cell r="B385">
            <v>204.42500000000001</v>
          </cell>
          <cell r="C385">
            <v>120.02500000000001</v>
          </cell>
        </row>
        <row r="386">
          <cell r="B386">
            <v>204.45</v>
          </cell>
          <cell r="C386">
            <v>120.85</v>
          </cell>
        </row>
        <row r="387">
          <cell r="B387">
            <v>204.47499999999999</v>
          </cell>
          <cell r="C387">
            <v>121.675</v>
          </cell>
        </row>
        <row r="388">
          <cell r="B388">
            <v>204.5</v>
          </cell>
          <cell r="C388">
            <v>122.5</v>
          </cell>
        </row>
        <row r="389">
          <cell r="B389">
            <v>204.52500000000001</v>
          </cell>
          <cell r="C389">
            <v>123.375</v>
          </cell>
        </row>
        <row r="390">
          <cell r="B390">
            <v>204.55</v>
          </cell>
          <cell r="C390">
            <v>124.25</v>
          </cell>
        </row>
        <row r="391">
          <cell r="B391">
            <v>204.57499999999999</v>
          </cell>
          <cell r="C391">
            <v>125.125</v>
          </cell>
        </row>
        <row r="392">
          <cell r="B392">
            <v>204.6</v>
          </cell>
          <cell r="C392">
            <v>126</v>
          </cell>
        </row>
        <row r="393">
          <cell r="B393">
            <v>204.625</v>
          </cell>
          <cell r="C393">
            <v>126.875</v>
          </cell>
        </row>
        <row r="394">
          <cell r="B394">
            <v>204.65</v>
          </cell>
          <cell r="C394">
            <v>127.75</v>
          </cell>
        </row>
        <row r="395">
          <cell r="B395">
            <v>204.67500000000001</v>
          </cell>
          <cell r="C395">
            <v>128.625</v>
          </cell>
        </row>
        <row r="396">
          <cell r="B396">
            <v>204.7</v>
          </cell>
          <cell r="C396">
            <v>129.5</v>
          </cell>
        </row>
        <row r="397">
          <cell r="B397">
            <v>204.72499999999999</v>
          </cell>
          <cell r="C397">
            <v>130.375</v>
          </cell>
        </row>
        <row r="398">
          <cell r="B398">
            <v>204.75</v>
          </cell>
          <cell r="C398">
            <v>131.25</v>
          </cell>
        </row>
        <row r="399">
          <cell r="B399">
            <v>204.77500000000001</v>
          </cell>
          <cell r="C399">
            <v>132.125</v>
          </cell>
        </row>
        <row r="400">
          <cell r="B400">
            <v>204.8</v>
          </cell>
          <cell r="C400">
            <v>133</v>
          </cell>
        </row>
        <row r="401">
          <cell r="B401">
            <v>204.82499999999999</v>
          </cell>
          <cell r="C401">
            <v>133.875</v>
          </cell>
        </row>
        <row r="402">
          <cell r="B402">
            <v>204.85</v>
          </cell>
          <cell r="C402">
            <v>134.75</v>
          </cell>
        </row>
        <row r="403">
          <cell r="B403">
            <v>204.875</v>
          </cell>
          <cell r="C403">
            <v>135.625</v>
          </cell>
        </row>
        <row r="404">
          <cell r="B404">
            <v>204.9</v>
          </cell>
          <cell r="C404">
            <v>136.5</v>
          </cell>
        </row>
        <row r="405">
          <cell r="B405">
            <v>204.92500000000001</v>
          </cell>
          <cell r="C405">
            <v>137.375</v>
          </cell>
        </row>
        <row r="406">
          <cell r="B406">
            <v>204.95</v>
          </cell>
          <cell r="C406">
            <v>138.25</v>
          </cell>
        </row>
        <row r="407">
          <cell r="B407">
            <v>204.97499999999999</v>
          </cell>
          <cell r="C407">
            <v>139.125</v>
          </cell>
        </row>
        <row r="408">
          <cell r="B408">
            <v>205</v>
          </cell>
          <cell r="C408">
            <v>140</v>
          </cell>
        </row>
        <row r="409">
          <cell r="B409">
            <v>205.02500000000001</v>
          </cell>
          <cell r="C409">
            <v>141</v>
          </cell>
        </row>
        <row r="410">
          <cell r="B410">
            <v>205.05</v>
          </cell>
          <cell r="C410">
            <v>142</v>
          </cell>
        </row>
        <row r="411">
          <cell r="B411">
            <v>205.07499999999999</v>
          </cell>
          <cell r="C411">
            <v>143</v>
          </cell>
        </row>
        <row r="412">
          <cell r="B412">
            <v>205.1</v>
          </cell>
          <cell r="C412">
            <v>144</v>
          </cell>
        </row>
        <row r="413">
          <cell r="B413">
            <v>205.125</v>
          </cell>
          <cell r="C413">
            <v>145</v>
          </cell>
        </row>
        <row r="414">
          <cell r="B414">
            <v>205.15</v>
          </cell>
          <cell r="C414">
            <v>146</v>
          </cell>
        </row>
        <row r="415">
          <cell r="B415">
            <v>205.17500000000001</v>
          </cell>
          <cell r="C415">
            <v>147</v>
          </cell>
        </row>
        <row r="416">
          <cell r="B416">
            <v>205.2</v>
          </cell>
          <cell r="C416">
            <v>148</v>
          </cell>
        </row>
        <row r="417">
          <cell r="B417">
            <v>205.22499999999999</v>
          </cell>
          <cell r="C417">
            <v>149</v>
          </cell>
        </row>
        <row r="418">
          <cell r="B418">
            <v>205.25</v>
          </cell>
          <cell r="C418">
            <v>150</v>
          </cell>
        </row>
        <row r="419">
          <cell r="B419">
            <v>205.27500000000001</v>
          </cell>
          <cell r="C419">
            <v>151</v>
          </cell>
        </row>
        <row r="420">
          <cell r="B420">
            <v>205.3</v>
          </cell>
          <cell r="C420">
            <v>152</v>
          </cell>
        </row>
        <row r="421">
          <cell r="B421">
            <v>205.32499999999999</v>
          </cell>
          <cell r="C421">
            <v>153</v>
          </cell>
        </row>
        <row r="422">
          <cell r="B422">
            <v>205.35</v>
          </cell>
          <cell r="C422">
            <v>154</v>
          </cell>
        </row>
        <row r="423">
          <cell r="B423">
            <v>205.375</v>
          </cell>
          <cell r="C423">
            <v>155</v>
          </cell>
        </row>
        <row r="424">
          <cell r="B424">
            <v>205.4</v>
          </cell>
          <cell r="C424">
            <v>156</v>
          </cell>
        </row>
        <row r="425">
          <cell r="B425">
            <v>205.42500000000001</v>
          </cell>
          <cell r="C425">
            <v>157</v>
          </cell>
        </row>
        <row r="426">
          <cell r="B426">
            <v>205.45</v>
          </cell>
          <cell r="C426">
            <v>158</v>
          </cell>
        </row>
        <row r="427">
          <cell r="B427">
            <v>205.47499999999999</v>
          </cell>
          <cell r="C427">
            <v>159</v>
          </cell>
        </row>
        <row r="428">
          <cell r="B428">
            <v>205.5</v>
          </cell>
          <cell r="C428">
            <v>160</v>
          </cell>
        </row>
        <row r="429">
          <cell r="B429">
            <v>205.52500000000001</v>
          </cell>
          <cell r="C429">
            <v>161</v>
          </cell>
        </row>
        <row r="430">
          <cell r="B430">
            <v>205.55</v>
          </cell>
          <cell r="C430">
            <v>162</v>
          </cell>
        </row>
        <row r="431">
          <cell r="B431">
            <v>205.57499999999999</v>
          </cell>
          <cell r="C431">
            <v>163</v>
          </cell>
        </row>
        <row r="432">
          <cell r="B432">
            <v>205.6</v>
          </cell>
          <cell r="C432">
            <v>164</v>
          </cell>
        </row>
        <row r="433">
          <cell r="B433">
            <v>205.625</v>
          </cell>
          <cell r="C433">
            <v>165</v>
          </cell>
        </row>
        <row r="434">
          <cell r="B434">
            <v>205.65</v>
          </cell>
          <cell r="C434">
            <v>166</v>
          </cell>
        </row>
        <row r="435">
          <cell r="B435">
            <v>205.67500000000001</v>
          </cell>
          <cell r="C435">
            <v>167</v>
          </cell>
        </row>
        <row r="436">
          <cell r="B436">
            <v>205.7</v>
          </cell>
          <cell r="C436">
            <v>168</v>
          </cell>
        </row>
        <row r="437">
          <cell r="B437">
            <v>205.72499999999999</v>
          </cell>
          <cell r="C437">
            <v>169</v>
          </cell>
        </row>
        <row r="438">
          <cell r="B438">
            <v>205.75</v>
          </cell>
          <cell r="C438">
            <v>170</v>
          </cell>
        </row>
        <row r="439">
          <cell r="B439">
            <v>205.77500000000001</v>
          </cell>
          <cell r="C439">
            <v>171</v>
          </cell>
        </row>
        <row r="440">
          <cell r="B440">
            <v>205.8</v>
          </cell>
          <cell r="C440">
            <v>172</v>
          </cell>
        </row>
        <row r="441">
          <cell r="B441">
            <v>205.82499999999999</v>
          </cell>
          <cell r="C441">
            <v>173</v>
          </cell>
        </row>
        <row r="442">
          <cell r="B442">
            <v>205.85</v>
          </cell>
          <cell r="C442">
            <v>174</v>
          </cell>
        </row>
        <row r="443">
          <cell r="B443">
            <v>205.875</v>
          </cell>
          <cell r="C443">
            <v>175</v>
          </cell>
        </row>
        <row r="444">
          <cell r="B444">
            <v>205.9</v>
          </cell>
          <cell r="C444">
            <v>176</v>
          </cell>
        </row>
        <row r="445">
          <cell r="B445">
            <v>205.92500000000001</v>
          </cell>
          <cell r="C445">
            <v>177</v>
          </cell>
        </row>
        <row r="446">
          <cell r="B446">
            <v>205.95</v>
          </cell>
          <cell r="C446">
            <v>178</v>
          </cell>
        </row>
        <row r="447">
          <cell r="B447">
            <v>205.97499999999999</v>
          </cell>
          <cell r="C447">
            <v>179</v>
          </cell>
        </row>
        <row r="448">
          <cell r="B448">
            <v>206</v>
          </cell>
          <cell r="C448">
            <v>180</v>
          </cell>
        </row>
        <row r="449">
          <cell r="B449">
            <v>206.02500000000001</v>
          </cell>
          <cell r="C449">
            <v>181.15</v>
          </cell>
        </row>
        <row r="450">
          <cell r="B450">
            <v>206.05</v>
          </cell>
          <cell r="C450">
            <v>182.3</v>
          </cell>
        </row>
        <row r="451">
          <cell r="B451">
            <v>206.07499999999999</v>
          </cell>
          <cell r="C451">
            <v>183.45</v>
          </cell>
        </row>
        <row r="452">
          <cell r="B452">
            <v>206.1</v>
          </cell>
          <cell r="C452">
            <v>184.6</v>
          </cell>
        </row>
        <row r="453">
          <cell r="B453">
            <v>206.125</v>
          </cell>
          <cell r="C453">
            <v>185.75</v>
          </cell>
        </row>
        <row r="454">
          <cell r="B454">
            <v>206.15</v>
          </cell>
          <cell r="C454">
            <v>186.9</v>
          </cell>
        </row>
        <row r="455">
          <cell r="B455">
            <v>206.17500000000001</v>
          </cell>
          <cell r="C455">
            <v>188.05</v>
          </cell>
        </row>
        <row r="456">
          <cell r="B456">
            <v>206.2</v>
          </cell>
          <cell r="C456">
            <v>189.2</v>
          </cell>
        </row>
        <row r="457">
          <cell r="B457">
            <v>206.22499999999999</v>
          </cell>
          <cell r="C457">
            <v>190.35</v>
          </cell>
        </row>
        <row r="458">
          <cell r="B458">
            <v>206.25</v>
          </cell>
          <cell r="C458">
            <v>191.5</v>
          </cell>
        </row>
        <row r="459">
          <cell r="B459">
            <v>206.27500000000001</v>
          </cell>
          <cell r="C459">
            <v>192.65</v>
          </cell>
        </row>
        <row r="460">
          <cell r="B460">
            <v>206.3</v>
          </cell>
          <cell r="C460">
            <v>193.8</v>
          </cell>
        </row>
        <row r="461">
          <cell r="B461">
            <v>206.32499999999999</v>
          </cell>
          <cell r="C461">
            <v>194.95</v>
          </cell>
        </row>
        <row r="462">
          <cell r="B462">
            <v>206.35</v>
          </cell>
          <cell r="C462">
            <v>196.1</v>
          </cell>
        </row>
        <row r="463">
          <cell r="B463">
            <v>206.375</v>
          </cell>
          <cell r="C463">
            <v>197.25</v>
          </cell>
        </row>
        <row r="464">
          <cell r="B464">
            <v>206.4</v>
          </cell>
          <cell r="C464">
            <v>198.4</v>
          </cell>
        </row>
        <row r="465">
          <cell r="B465">
            <v>206.42500000000001</v>
          </cell>
          <cell r="C465">
            <v>199.55</v>
          </cell>
        </row>
        <row r="466">
          <cell r="B466">
            <v>206.45</v>
          </cell>
          <cell r="C466">
            <v>200.7</v>
          </cell>
        </row>
        <row r="467">
          <cell r="B467">
            <v>206.47499999999999</v>
          </cell>
          <cell r="C467">
            <v>201.85</v>
          </cell>
        </row>
        <row r="468">
          <cell r="B468">
            <v>206.5</v>
          </cell>
          <cell r="C468">
            <v>203</v>
          </cell>
        </row>
        <row r="469">
          <cell r="B469">
            <v>206.52500000000001</v>
          </cell>
          <cell r="C469">
            <v>204.17500000000001</v>
          </cell>
        </row>
        <row r="470">
          <cell r="B470">
            <v>206.55</v>
          </cell>
          <cell r="C470">
            <v>205.35</v>
          </cell>
        </row>
        <row r="471">
          <cell r="B471">
            <v>206.57499999999999</v>
          </cell>
          <cell r="C471">
            <v>206.52500000000001</v>
          </cell>
        </row>
        <row r="472">
          <cell r="B472">
            <v>206.6</v>
          </cell>
          <cell r="C472">
            <v>207.7</v>
          </cell>
        </row>
        <row r="473">
          <cell r="B473">
            <v>206.625</v>
          </cell>
          <cell r="C473">
            <v>208.875</v>
          </cell>
        </row>
        <row r="474">
          <cell r="B474">
            <v>206.65</v>
          </cell>
          <cell r="C474">
            <v>210.05</v>
          </cell>
        </row>
        <row r="475">
          <cell r="B475">
            <v>206.67500000000001</v>
          </cell>
          <cell r="C475">
            <v>211.22499999999999</v>
          </cell>
        </row>
        <row r="476">
          <cell r="B476">
            <v>206.7</v>
          </cell>
          <cell r="C476">
            <v>212.4</v>
          </cell>
        </row>
        <row r="477">
          <cell r="B477">
            <v>206.72499999999999</v>
          </cell>
          <cell r="C477">
            <v>213.57499999999999</v>
          </cell>
        </row>
        <row r="478">
          <cell r="B478">
            <v>206.75</v>
          </cell>
          <cell r="C478">
            <v>214.75</v>
          </cell>
        </row>
        <row r="479">
          <cell r="B479">
            <v>206.77500000000001</v>
          </cell>
          <cell r="C479">
            <v>215.92500000000001</v>
          </cell>
        </row>
        <row r="480">
          <cell r="B480">
            <v>206.8</v>
          </cell>
          <cell r="C480">
            <v>217.1</v>
          </cell>
        </row>
        <row r="481">
          <cell r="B481">
            <v>206.82499999999999</v>
          </cell>
          <cell r="C481">
            <v>218.27500000000001</v>
          </cell>
        </row>
        <row r="482">
          <cell r="B482">
            <v>206.85</v>
          </cell>
          <cell r="C482">
            <v>219.45</v>
          </cell>
        </row>
        <row r="483">
          <cell r="B483">
            <v>206.875</v>
          </cell>
          <cell r="C483">
            <v>220.625</v>
          </cell>
        </row>
        <row r="484">
          <cell r="B484">
            <v>206.9</v>
          </cell>
          <cell r="C484">
            <v>221.8</v>
          </cell>
        </row>
        <row r="485">
          <cell r="B485">
            <v>206.92500000000001</v>
          </cell>
          <cell r="C485">
            <v>222.97499999999999</v>
          </cell>
        </row>
        <row r="486">
          <cell r="B486">
            <v>206.95</v>
          </cell>
          <cell r="C486">
            <v>224.15</v>
          </cell>
        </row>
        <row r="487">
          <cell r="B487">
            <v>206.97499999999999</v>
          </cell>
          <cell r="C487">
            <v>225.32499999999999</v>
          </cell>
        </row>
        <row r="488">
          <cell r="B488">
            <v>207</v>
          </cell>
          <cell r="C488">
            <v>226.5</v>
          </cell>
        </row>
        <row r="489">
          <cell r="B489">
            <v>207.02500000000001</v>
          </cell>
          <cell r="C489">
            <v>227.8</v>
          </cell>
        </row>
        <row r="490">
          <cell r="B490">
            <v>207.05</v>
          </cell>
          <cell r="C490">
            <v>229.1</v>
          </cell>
        </row>
        <row r="491">
          <cell r="B491">
            <v>207.07499999999999</v>
          </cell>
          <cell r="C491">
            <v>230.4</v>
          </cell>
        </row>
        <row r="492">
          <cell r="B492">
            <v>207.1</v>
          </cell>
          <cell r="C492">
            <v>231.7</v>
          </cell>
        </row>
        <row r="493">
          <cell r="B493">
            <v>207.125</v>
          </cell>
          <cell r="C493">
            <v>233</v>
          </cell>
        </row>
        <row r="494">
          <cell r="B494">
            <v>207.15</v>
          </cell>
          <cell r="C494">
            <v>234.3</v>
          </cell>
        </row>
        <row r="495">
          <cell r="B495">
            <v>207.17500000000001</v>
          </cell>
          <cell r="C495">
            <v>235.6</v>
          </cell>
        </row>
        <row r="496">
          <cell r="B496">
            <v>207.2</v>
          </cell>
          <cell r="C496">
            <v>236.9</v>
          </cell>
        </row>
        <row r="497">
          <cell r="B497">
            <v>207.22499999999999</v>
          </cell>
          <cell r="C497">
            <v>238.2</v>
          </cell>
        </row>
        <row r="498">
          <cell r="B498">
            <v>207.25</v>
          </cell>
          <cell r="C498">
            <v>239.5</v>
          </cell>
        </row>
        <row r="499">
          <cell r="B499">
            <v>207.27500000000001</v>
          </cell>
          <cell r="C499">
            <v>240.8</v>
          </cell>
        </row>
        <row r="500">
          <cell r="B500">
            <v>207.3</v>
          </cell>
          <cell r="C500">
            <v>242.1</v>
          </cell>
        </row>
        <row r="501">
          <cell r="B501">
            <v>207.32499999999999</v>
          </cell>
          <cell r="C501">
            <v>243.4</v>
          </cell>
        </row>
        <row r="502">
          <cell r="B502">
            <v>207.35</v>
          </cell>
          <cell r="C502">
            <v>244.7</v>
          </cell>
        </row>
        <row r="503">
          <cell r="B503">
            <v>207.375</v>
          </cell>
          <cell r="C503">
            <v>246</v>
          </cell>
        </row>
        <row r="504">
          <cell r="B504">
            <v>207.4</v>
          </cell>
          <cell r="C504">
            <v>247.3</v>
          </cell>
        </row>
        <row r="505">
          <cell r="B505">
            <v>207.42500000000001</v>
          </cell>
          <cell r="C505">
            <v>248.6</v>
          </cell>
        </row>
        <row r="506">
          <cell r="B506">
            <v>207.45</v>
          </cell>
          <cell r="C506">
            <v>249.9</v>
          </cell>
        </row>
        <row r="507">
          <cell r="B507">
            <v>207.47499999999999</v>
          </cell>
          <cell r="C507">
            <v>251.2</v>
          </cell>
        </row>
        <row r="508">
          <cell r="B508">
            <v>207.5</v>
          </cell>
          <cell r="C508">
            <v>252.5</v>
          </cell>
        </row>
        <row r="509">
          <cell r="B509">
            <v>207.52500000000001</v>
          </cell>
          <cell r="C509">
            <v>253.92500000000001</v>
          </cell>
        </row>
        <row r="510">
          <cell r="B510">
            <v>207.55</v>
          </cell>
          <cell r="C510">
            <v>255.35</v>
          </cell>
        </row>
        <row r="511">
          <cell r="B511">
            <v>207.57499999999999</v>
          </cell>
          <cell r="C511">
            <v>256.77499999999998</v>
          </cell>
        </row>
        <row r="512">
          <cell r="B512">
            <v>207.6</v>
          </cell>
          <cell r="C512">
            <v>258.2</v>
          </cell>
        </row>
        <row r="513">
          <cell r="B513">
            <v>207.625</v>
          </cell>
          <cell r="C513">
            <v>259.625</v>
          </cell>
        </row>
        <row r="514">
          <cell r="B514">
            <v>207.65</v>
          </cell>
          <cell r="C514">
            <v>261.05</v>
          </cell>
        </row>
        <row r="515">
          <cell r="B515">
            <v>207.67500000000001</v>
          </cell>
          <cell r="C515">
            <v>262.47500000000002</v>
          </cell>
        </row>
        <row r="516">
          <cell r="B516">
            <v>207.7</v>
          </cell>
          <cell r="C516">
            <v>263.89999999999998</v>
          </cell>
        </row>
        <row r="517">
          <cell r="B517">
            <v>207.72499999999999</v>
          </cell>
          <cell r="C517">
            <v>265.32499999999999</v>
          </cell>
        </row>
        <row r="518">
          <cell r="B518">
            <v>207.75</v>
          </cell>
          <cell r="C518">
            <v>266.75</v>
          </cell>
        </row>
        <row r="519">
          <cell r="B519">
            <v>207.77500000000001</v>
          </cell>
          <cell r="C519">
            <v>268.17500000000001</v>
          </cell>
        </row>
        <row r="520">
          <cell r="B520">
            <v>207.8</v>
          </cell>
          <cell r="C520">
            <v>269.60000000000002</v>
          </cell>
        </row>
        <row r="521">
          <cell r="B521">
            <v>207.82499999999999</v>
          </cell>
          <cell r="C521">
            <v>271.02499999999998</v>
          </cell>
        </row>
        <row r="522">
          <cell r="B522">
            <v>207.85</v>
          </cell>
          <cell r="C522">
            <v>272.45</v>
          </cell>
        </row>
        <row r="523">
          <cell r="B523">
            <v>207.875</v>
          </cell>
          <cell r="C523">
            <v>273.875</v>
          </cell>
        </row>
        <row r="524">
          <cell r="B524">
            <v>207.9</v>
          </cell>
          <cell r="C524">
            <v>275.3</v>
          </cell>
        </row>
        <row r="525">
          <cell r="B525">
            <v>207.92500000000001</v>
          </cell>
          <cell r="C525">
            <v>276.72500000000002</v>
          </cell>
        </row>
        <row r="526">
          <cell r="B526">
            <v>207.95</v>
          </cell>
          <cell r="C526">
            <v>278.14999999999998</v>
          </cell>
        </row>
        <row r="527">
          <cell r="B527">
            <v>207.97499999999999</v>
          </cell>
          <cell r="C527">
            <v>279.57499999999999</v>
          </cell>
        </row>
        <row r="528">
          <cell r="B528">
            <v>208</v>
          </cell>
          <cell r="C528">
            <v>281</v>
          </cell>
        </row>
      </sheetData>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Summary"/>
      <sheetName val="BHUSAWAL"/>
      <sheetName val="F1(Bhu)"/>
      <sheetName val="F2.1(Bhu)"/>
      <sheetName val="F2.2(Bhu)"/>
      <sheetName val="F2.3(Bhu)"/>
      <sheetName val="F2.6(Bhu)"/>
      <sheetName val="F3(Bhu)"/>
      <sheetName val="F3.1(Bhu)"/>
      <sheetName val="F3.2(Bhu)"/>
      <sheetName val="F3.3(Bhu)"/>
      <sheetName val="F4(Bhu)"/>
      <sheetName val="F5(Bhu)"/>
      <sheetName val="F5.1(Bhu)"/>
      <sheetName val="F5.2(Bhu)"/>
      <sheetName val="F5.3(Bhu)"/>
      <sheetName val="F5.4(Bhu)"/>
      <sheetName val="F6(Bhu)"/>
      <sheetName val="F11(Bhu)"/>
      <sheetName val="F12(Bhu)"/>
      <sheetName val="Chandrapur"/>
      <sheetName val="F1(Cha)"/>
      <sheetName val="F2.1(Cha)"/>
      <sheetName val="F2.2(Cha)"/>
      <sheetName val="F2.3(Cha)"/>
      <sheetName val="F2.6(Cha)"/>
      <sheetName val="F3(Cha)"/>
      <sheetName val="F3.1(Cha)"/>
      <sheetName val="F3.2(Cha)"/>
      <sheetName val="F3.3(Cha)"/>
      <sheetName val="F4(Cha)"/>
      <sheetName val="F5(Cha)"/>
      <sheetName val="F5.1(Cha)"/>
      <sheetName val="F5.2(Cha)"/>
      <sheetName val="F5.3(Cha)"/>
      <sheetName val="F5.4(Cha)"/>
      <sheetName val="F6(Cha)"/>
      <sheetName val="F11(Cha)"/>
      <sheetName val="F12(Cha)"/>
      <sheetName val="Koradi"/>
      <sheetName val="F1(Kor)"/>
      <sheetName val="F2.1(Kor)"/>
      <sheetName val="F2.2(Kor)"/>
      <sheetName val="F2.3(Kor)"/>
      <sheetName val="F2.6(Kor)"/>
      <sheetName val="F3(Kor)"/>
      <sheetName val="F3.1(Kor)"/>
      <sheetName val="F3.2(Kor)"/>
      <sheetName val="F3.3(Kor)"/>
      <sheetName val="F4(Kor)"/>
      <sheetName val="F5(Kor)"/>
      <sheetName val="F5.1(Kor)"/>
      <sheetName val="F5.2(Kor)"/>
      <sheetName val="F5.3(Kor)"/>
      <sheetName val="F5.4(Kor)"/>
      <sheetName val="F6(Kor)"/>
      <sheetName val="F11(Kor)"/>
      <sheetName val="F12(Kor)"/>
      <sheetName val="Paras"/>
      <sheetName val="F1(Paras)"/>
      <sheetName val="F2.1(Paras)"/>
      <sheetName val="F2.2(Paras)"/>
      <sheetName val="F2.3(Paras)"/>
      <sheetName val="F2.6(Paras)"/>
      <sheetName val="F3(Paras)"/>
      <sheetName val="F3.1(Paras)"/>
      <sheetName val="F3.2(Paras)"/>
      <sheetName val="F3.3(Paras)"/>
      <sheetName val="F4(Paras)"/>
      <sheetName val="F5(Paras)"/>
      <sheetName val="F5.1(Paras)"/>
      <sheetName val="F5.2(Paras)"/>
      <sheetName val="F5.3(Paras)"/>
      <sheetName val="F5.4(Paras)"/>
      <sheetName val="F6(Paras)"/>
      <sheetName val="F11(Paras)"/>
      <sheetName val="F12(Paras)"/>
      <sheetName val="Parli"/>
      <sheetName val="F1(Parli)"/>
      <sheetName val="F2.1(Parli)"/>
      <sheetName val="F2.2(Parli)"/>
      <sheetName val="F2.3(Parli)"/>
      <sheetName val="F2.6(Parli)"/>
      <sheetName val="F3(Parli)"/>
      <sheetName val="F3.1(Parli)"/>
      <sheetName val="F3.2(Parli)"/>
      <sheetName val="F3.3(Parli)"/>
      <sheetName val="F4(Parli)"/>
      <sheetName val="F5(Parli)"/>
      <sheetName val="F5.1(Parli)"/>
      <sheetName val="F5.2(Parli)"/>
      <sheetName val="F5.3(Parli)"/>
      <sheetName val="F5.4(Parli)"/>
      <sheetName val="F6(Parli)"/>
      <sheetName val="F11(Parli)"/>
      <sheetName val="F12(Parli)"/>
      <sheetName val="Khaperkheda"/>
      <sheetName val="F1(Kha)"/>
      <sheetName val="F2.1(Kha)"/>
      <sheetName val="F2.2(Kha)"/>
      <sheetName val="F2.3(Kha)"/>
      <sheetName val="F2.6(Kha)"/>
      <sheetName val="F3(Kha)"/>
      <sheetName val="F3.1(Kha)"/>
      <sheetName val="F3.2(Kha)"/>
      <sheetName val="F3.3(Kha)"/>
      <sheetName val="F4(Kha)"/>
      <sheetName val="F5(Kha)"/>
      <sheetName val="F5.1(Kha)"/>
      <sheetName val="F5.2(Kha)"/>
      <sheetName val="F5.3(Kha)"/>
      <sheetName val="F5.4(Kha)"/>
      <sheetName val="F6(Kha)"/>
      <sheetName val="F11(Kha)"/>
      <sheetName val="F12(Kha)"/>
      <sheetName val="Nasik"/>
      <sheetName val="F1(Nasi)"/>
      <sheetName val="F2.1(Nasi)"/>
      <sheetName val="F2.2(Nasi)"/>
      <sheetName val="F2.3(Nasi)"/>
      <sheetName val="F2.6(Nasi)"/>
      <sheetName val="F3(Nasi)"/>
      <sheetName val="F3.1(Nasi)"/>
      <sheetName val="F3.2(Nasi)"/>
      <sheetName val="F3.3(Nasi)"/>
      <sheetName val="F4(Nasi)"/>
      <sheetName val="F5(Nasi)"/>
      <sheetName val="F5.1(Nasi)"/>
      <sheetName val="F5.2(Nasi)"/>
      <sheetName val="F5.3(Nasi)"/>
      <sheetName val="F5.4(Nasi)"/>
      <sheetName val="F6(Nasi)"/>
      <sheetName val="F11(Nasi)"/>
      <sheetName val="F12(Nasi)"/>
      <sheetName val="Uran"/>
      <sheetName val="F1(Uran)"/>
      <sheetName val="F2.1(Uran)"/>
      <sheetName val="F2.2(Uran)"/>
      <sheetName val="F2.3(Uran)"/>
      <sheetName val="F2.6(Uran)"/>
      <sheetName val="F3(Uran)"/>
      <sheetName val="F3.1(Uran)"/>
      <sheetName val="F3.2(Uran)"/>
      <sheetName val="F3.3(Uran)"/>
      <sheetName val="F4(Uran)"/>
      <sheetName val="F5(Uran)"/>
      <sheetName val="F5.1(Uran)"/>
      <sheetName val="F5.2(Uran)"/>
      <sheetName val="F5.3(Uran)"/>
      <sheetName val="F5.4(Uran)"/>
      <sheetName val="F6(Uran)"/>
      <sheetName val="F11(Uran)"/>
      <sheetName val="F12(Uran)"/>
      <sheetName val="Hydro"/>
      <sheetName val="F1(Hydro)"/>
      <sheetName val="F2.1(Hydro)"/>
      <sheetName val="F2.3(Hydro)"/>
      <sheetName val="F2.4(Hydro)"/>
      <sheetName val="F2.6(Hydro)"/>
      <sheetName val="F3(Hydro)"/>
      <sheetName val="F3.1(Hydro)"/>
      <sheetName val="F3.2(Hydro)"/>
      <sheetName val="F3.3(Hydro)"/>
      <sheetName val="F4(Hydro)"/>
      <sheetName val="F4(Koyna)"/>
      <sheetName val="F4(PuneHydro)"/>
      <sheetName val="F4(NasikHydro)"/>
      <sheetName val="F5(Hydro)"/>
      <sheetName val="F5.1(Hydro)"/>
      <sheetName val="F5.2(Hydro)"/>
      <sheetName val="F5.3(PuneHydro)"/>
      <sheetName val="F5.4(PuneHydro)"/>
      <sheetName val="F5.3(NasikHydro)"/>
      <sheetName val="F5.4(NasikHydro)"/>
      <sheetName val="F5.3(Koyna)"/>
      <sheetName val="F5.4(Koyna)"/>
      <sheetName val="F6(Hydro)"/>
      <sheetName val="F11(Hydro)"/>
      <sheetName val="F12(Hydro)"/>
      <sheetName val="Level_qty"/>
      <sheetName val="F2_1(Bhu)"/>
      <sheetName val="F2_2(Bhu)"/>
      <sheetName val="F2_3(Bhu)"/>
      <sheetName val="F2_6(Bhu)"/>
      <sheetName val="F3_1(Bhu)"/>
      <sheetName val="F3_2(Bhu)"/>
      <sheetName val="F3_3(Bhu)"/>
      <sheetName val="F5_1(Bhu)"/>
      <sheetName val="F5_2(Bhu)"/>
      <sheetName val="F5_3(Bhu)"/>
      <sheetName val="F5_4(Bhu)"/>
      <sheetName val="F2_1(Cha)"/>
      <sheetName val="F2_2(Cha)"/>
      <sheetName val="F2_3(Cha)"/>
      <sheetName val="F2_6(Cha)"/>
      <sheetName val="F3_1(Cha)"/>
      <sheetName val="F3_2(Cha)"/>
      <sheetName val="F3_3(Cha)"/>
      <sheetName val="F5_1(Cha)"/>
      <sheetName val="F5_2(Cha)"/>
      <sheetName val="F5_3(Cha)"/>
      <sheetName val="F5_4(Cha)"/>
      <sheetName val="F2_1(Kor)"/>
      <sheetName val="F2_2(Kor)"/>
      <sheetName val="F2_3(Kor)"/>
      <sheetName val="F2_6(Kor)"/>
      <sheetName val="F3_1(Kor)"/>
      <sheetName val="F3_2(Kor)"/>
      <sheetName val="F3_3(Kor)"/>
      <sheetName val="F5_1(Kor)"/>
      <sheetName val="F5_2(Kor)"/>
      <sheetName val="F5_3(Kor)"/>
      <sheetName val="F5_4(Kor)"/>
      <sheetName val="F2_1(Paras)"/>
      <sheetName val="F2_2(Paras)"/>
      <sheetName val="F2_3(Paras)"/>
      <sheetName val="F2_6(Paras)"/>
      <sheetName val="F3_1(Paras)"/>
      <sheetName val="F3_2(Paras)"/>
      <sheetName val="F3_3(Paras)"/>
      <sheetName val="F5_1(Paras)"/>
      <sheetName val="F5_2(Paras)"/>
      <sheetName val="F5_3(Paras)"/>
      <sheetName val="F5_4(Paras)"/>
      <sheetName val="F2_1(Parli)"/>
      <sheetName val="F2_2(Parli)"/>
      <sheetName val="F2_3(Parli)"/>
      <sheetName val="F2_6(Parli)"/>
      <sheetName val="F3_1(Parli)"/>
      <sheetName val="F3_2(Parli)"/>
      <sheetName val="F3_3(Parli)"/>
      <sheetName val="F5_1(Parli)"/>
      <sheetName val="F5_2(Parli)"/>
      <sheetName val="F5_3(Parli)"/>
      <sheetName val="F5_4(Parli)"/>
      <sheetName val="F2_1(Kha)"/>
      <sheetName val="F2_2(Kha)"/>
      <sheetName val="F2_3(Kha)"/>
      <sheetName val="F2_6(Kha)"/>
      <sheetName val="F3_1(Kha)"/>
      <sheetName val="F3_2(Kha)"/>
      <sheetName val="F3_3(Kha)"/>
      <sheetName val="F5_1(Kha)"/>
      <sheetName val="F5_2(Kha)"/>
      <sheetName val="F5_3(Kha)"/>
      <sheetName val="F5_4(Kha)"/>
      <sheetName val="F2_1(Nasi)"/>
      <sheetName val="F2_2(Nasi)"/>
      <sheetName val="F2_3(Nasi)"/>
      <sheetName val="F2_6(Nasi)"/>
      <sheetName val="F3_1(Nasi)"/>
      <sheetName val="F3_2(Nasi)"/>
      <sheetName val="F3_3(Nasi)"/>
      <sheetName val="F5_1(Nasi)"/>
      <sheetName val="F5_2(Nasi)"/>
      <sheetName val="F5_3(Nasi)"/>
      <sheetName val="F5_4(Nasi)"/>
      <sheetName val="F2_1(Uran)"/>
      <sheetName val="F2_2(Uran)"/>
      <sheetName val="F2_3(Uran)"/>
      <sheetName val="F2_6(Uran)"/>
      <sheetName val="F3_1(Uran)"/>
      <sheetName val="F3_2(Uran)"/>
      <sheetName val="F3_3(Uran)"/>
      <sheetName val="F5_1(Uran)"/>
      <sheetName val="F5_2(Uran)"/>
      <sheetName val="F5_3(Uran)"/>
      <sheetName val="F5_4(Uran)"/>
      <sheetName val="F2_1(Hydro)"/>
      <sheetName val="F2_3(Hydro)"/>
      <sheetName val="F2_4(Hydro)"/>
      <sheetName val="F2_6(Hydro)"/>
      <sheetName val="F3_1(Hydro)"/>
      <sheetName val="F3_2(Hydro)"/>
      <sheetName val="F3_3(Hydro)"/>
      <sheetName val="F5_1(Hydro)"/>
      <sheetName val="F5_2(Hydro)"/>
      <sheetName val="F5_3(PuneHydro)"/>
      <sheetName val="F5_4(PuneHydro)"/>
      <sheetName val="F5_3(NasikHydro)"/>
      <sheetName val="F5_4(NasikHydro)"/>
      <sheetName val="F5_3(Koyna)"/>
      <sheetName val="F5_4(Koyna)"/>
    </sheetNames>
    <sheetDataSet>
      <sheetData sheetId="0">
        <row r="4">
          <cell r="B4">
            <v>7.8600000000000003E-2</v>
          </cell>
        </row>
        <row r="5">
          <cell r="B5">
            <v>7.8600000000000003E-2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efreshError="1"/>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A"/>
      <sheetName val="Sheet1"/>
      <sheetName val="Sheet2"/>
      <sheetName val="Sheet3"/>
      <sheetName val="Sheet4"/>
      <sheetName val="Sheet5"/>
      <sheetName val="Sheet6"/>
      <sheetName val="Sheet7"/>
      <sheetName val="Sheet7A"/>
      <sheetName val="Sheet8"/>
      <sheetName val="Sheet9"/>
      <sheetName val="Sheet10"/>
      <sheetName val="Sheet9A"/>
      <sheetName val="Sheet11"/>
      <sheetName val="Sheet12"/>
      <sheetName val="Sheet13"/>
      <sheetName val="Sheet14"/>
      <sheetName val="DPR (DCEW) "/>
      <sheetName val="DPR(DECO)"/>
      <sheetName val="DPR(DEMR)"/>
      <sheetName val="KLG"/>
      <sheetName val="SCADA"/>
      <sheetName val="SAIDI &amp; SAFI"/>
      <sheetName val="Sheet15"/>
    </sheetNames>
    <sheetDataSet>
      <sheetData sheetId="0" refreshError="1"/>
      <sheetData sheetId="1"/>
      <sheetData sheetId="2"/>
      <sheetData sheetId="3"/>
      <sheetData sheetId="4"/>
      <sheetData sheetId="5"/>
      <sheetData sheetId="6"/>
      <sheetData sheetId="7"/>
      <sheetData sheetId="8" refreshError="1"/>
      <sheetData sheetId="9" refreshError="1"/>
      <sheetData sheetId="10"/>
      <sheetData sheetId="11">
        <row r="45">
          <cell r="J45">
            <v>42.210000000000008</v>
          </cell>
        </row>
      </sheetData>
      <sheetData sheetId="12">
        <row r="47">
          <cell r="O47">
            <v>689.15000000000009</v>
          </cell>
        </row>
      </sheetData>
      <sheetData sheetId="13"/>
      <sheetData sheetId="14" refreshError="1"/>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B-MAN1"/>
      <sheetName val="Price "/>
      <sheetName val="COMPLEXALL"/>
      <sheetName val="License Area"/>
      <sheetName val="COA-17"/>
      <sheetName val="C-18"/>
      <sheetName val="예제"/>
      <sheetName val="Cost"/>
      <sheetName val="curlocal"/>
      <sheetName val="Summary"/>
    </sheetNames>
    <sheetDataSet>
      <sheetData sheetId="0" refreshError="1">
        <row r="40">
          <cell r="D40" t="str">
            <v>96.05.26</v>
          </cell>
          <cell r="H40">
            <v>35172</v>
          </cell>
          <cell r="K40" t="str">
            <v xml:space="preserve"> </v>
          </cell>
          <cell r="T40" t="str">
            <v>LCL</v>
          </cell>
          <cell r="U40" t="str">
            <v>Mongkol</v>
          </cell>
          <cell r="X40">
            <v>35440</v>
          </cell>
          <cell r="AG40">
            <v>35198</v>
          </cell>
          <cell r="AW40">
            <v>35093</v>
          </cell>
        </row>
        <row r="41">
          <cell r="D41" t="str">
            <v>LCL</v>
          </cell>
          <cell r="E41" t="str">
            <v>Somsak</v>
          </cell>
          <cell r="G41" t="str">
            <v xml:space="preserve"> </v>
          </cell>
          <cell r="K41" t="str">
            <v xml:space="preserve"> </v>
          </cell>
          <cell r="P41" t="str">
            <v>Tank / Lining</v>
          </cell>
          <cell r="T41">
            <v>35363</v>
          </cell>
          <cell r="X41" t="str">
            <v>LCL</v>
          </cell>
          <cell r="Y41" t="str">
            <v>Prasit</v>
          </cell>
          <cell r="AG41" t="str">
            <v>TCN</v>
          </cell>
          <cell r="AH41" t="str">
            <v>O. Gomez</v>
          </cell>
          <cell r="AW41" t="str">
            <v>LCL</v>
          </cell>
          <cell r="AX41" t="str">
            <v>Manusak</v>
          </cell>
        </row>
        <row r="42">
          <cell r="D42" t="str">
            <v>95.12.25</v>
          </cell>
          <cell r="G42" t="str">
            <v xml:space="preserve"> </v>
          </cell>
          <cell r="H42" t="str">
            <v>Q   /   S</v>
          </cell>
          <cell r="K42" t="str">
            <v xml:space="preserve"> </v>
          </cell>
          <cell r="P42" t="str">
            <v>GJ</v>
          </cell>
          <cell r="Q42" t="str">
            <v>강 민 형</v>
          </cell>
          <cell r="T42" t="str">
            <v>LCL</v>
          </cell>
          <cell r="U42" t="str">
            <v>Nattaphong</v>
          </cell>
          <cell r="X42">
            <v>35440</v>
          </cell>
          <cell r="AG42">
            <v>35183</v>
          </cell>
          <cell r="AW42">
            <v>35268</v>
          </cell>
        </row>
        <row r="43">
          <cell r="D43" t="str">
            <v>LCL</v>
          </cell>
          <cell r="E43" t="str">
            <v>Samart</v>
          </cell>
          <cell r="G43" t="str">
            <v xml:space="preserve"> </v>
          </cell>
          <cell r="H43" t="str">
            <v>TCN</v>
          </cell>
          <cell r="I43" t="str">
            <v xml:space="preserve">  S. ROWE</v>
          </cell>
          <cell r="K43" t="str">
            <v xml:space="preserve"> </v>
          </cell>
          <cell r="P43" t="str">
            <v>95.03.08 / 95.09.14</v>
          </cell>
          <cell r="T43">
            <v>35366</v>
          </cell>
          <cell r="X43" t="str">
            <v>LCL</v>
          </cell>
          <cell r="Y43" t="str">
            <v>Chalit</v>
          </cell>
          <cell r="AG43" t="str">
            <v>TCN</v>
          </cell>
          <cell r="AH43" t="str">
            <v>Rozario</v>
          </cell>
          <cell r="AW43" t="str">
            <v>LCL</v>
          </cell>
          <cell r="AX43" t="str">
            <v>Mankiet</v>
          </cell>
        </row>
        <row r="44">
          <cell r="D44" t="str">
            <v>96.02.05</v>
          </cell>
          <cell r="G44" t="str">
            <v xml:space="preserve"> </v>
          </cell>
          <cell r="H44">
            <v>34895</v>
          </cell>
          <cell r="K44" t="str">
            <v xml:space="preserve"> </v>
          </cell>
          <cell r="P44" t="str">
            <v>LCL</v>
          </cell>
          <cell r="Q44" t="str">
            <v>Prong</v>
          </cell>
          <cell r="T44" t="str">
            <v>TCN</v>
          </cell>
          <cell r="U44" t="str">
            <v>A. Tiongo</v>
          </cell>
          <cell r="X44">
            <v>35445</v>
          </cell>
          <cell r="AG44">
            <v>35258</v>
          </cell>
          <cell r="AW44">
            <v>35205</v>
          </cell>
        </row>
        <row r="45">
          <cell r="D45" t="str">
            <v>LCL</v>
          </cell>
          <cell r="E45" t="str">
            <v>Sathian</v>
          </cell>
          <cell r="G45" t="str">
            <v xml:space="preserve"> </v>
          </cell>
          <cell r="K45" t="str">
            <v xml:space="preserve"> </v>
          </cell>
          <cell r="P45">
            <v>35044</v>
          </cell>
          <cell r="T45">
            <v>35357</v>
          </cell>
          <cell r="X45" t="str">
            <v>LCL</v>
          </cell>
          <cell r="Y45" t="str">
            <v>Kritsada</v>
          </cell>
          <cell r="AG45" t="str">
            <v>TCN</v>
          </cell>
          <cell r="AH45" t="str">
            <v>E. Magadia</v>
          </cell>
          <cell r="AW45" t="str">
            <v>LCL</v>
          </cell>
          <cell r="AX45" t="str">
            <v>Phichet</v>
          </cell>
        </row>
        <row r="46">
          <cell r="D46">
            <v>35328</v>
          </cell>
          <cell r="G46" t="str">
            <v xml:space="preserve"> </v>
          </cell>
          <cell r="K46" t="str">
            <v xml:space="preserve"> </v>
          </cell>
          <cell r="P46" t="str">
            <v>LCL</v>
          </cell>
          <cell r="Q46" t="str">
            <v>Swan</v>
          </cell>
          <cell r="T46" t="str">
            <v>LCL</v>
          </cell>
          <cell r="U46" t="str">
            <v>Suchart</v>
          </cell>
          <cell r="X46">
            <v>35450</v>
          </cell>
          <cell r="AG46">
            <v>35469</v>
          </cell>
          <cell r="AW46">
            <v>35115</v>
          </cell>
        </row>
        <row r="47">
          <cell r="G47" t="str">
            <v xml:space="preserve"> </v>
          </cell>
          <cell r="K47" t="str">
            <v xml:space="preserve"> </v>
          </cell>
          <cell r="P47">
            <v>35464</v>
          </cell>
          <cell r="T47">
            <v>35450</v>
          </cell>
          <cell r="X47" t="str">
            <v>LCL</v>
          </cell>
          <cell r="Y47" t="str">
            <v>Pasathorn</v>
          </cell>
          <cell r="AG47" t="str">
            <v>TCN</v>
          </cell>
          <cell r="AH47" t="str">
            <v>M. Clay</v>
          </cell>
          <cell r="AW47" t="str">
            <v>LCL</v>
          </cell>
          <cell r="AX47" t="str">
            <v>Watcharin</v>
          </cell>
        </row>
        <row r="48">
          <cell r="D48" t="str">
            <v>業           務</v>
          </cell>
          <cell r="G48" t="str">
            <v xml:space="preserve"> </v>
          </cell>
          <cell r="K48" t="str">
            <v xml:space="preserve"> </v>
          </cell>
          <cell r="X48">
            <v>35457</v>
          </cell>
          <cell r="AG48">
            <v>35247</v>
          </cell>
          <cell r="AW48">
            <v>35443</v>
          </cell>
        </row>
        <row r="49">
          <cell r="D49" t="str">
            <v>DR</v>
          </cell>
          <cell r="E49" t="str">
            <v>김 주 범</v>
          </cell>
          <cell r="G49" t="str">
            <v xml:space="preserve"> </v>
          </cell>
          <cell r="K49" t="str">
            <v xml:space="preserve"> </v>
          </cell>
          <cell r="P49" t="str">
            <v>保溫 / 途裝</v>
          </cell>
          <cell r="X49" t="str">
            <v>LCL</v>
          </cell>
          <cell r="Y49" t="str">
            <v>Somsak</v>
          </cell>
          <cell r="AW49" t="str">
            <v>LCL</v>
          </cell>
          <cell r="AX49" t="str">
            <v>Thanin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up to lenders"/>
      <sheetName val="Funding plan"/>
      <sheetName val="rough"/>
      <sheetName val="Monthly"/>
      <sheetName val="IDC"/>
      <sheetName val="IDC model based"/>
      <sheetName val="phasing for IDC"/>
      <sheetName val="phasing"/>
      <sheetName val="IDC phasing based"/>
      <sheetName val="sorting"/>
      <sheetName val="Hedging"/>
      <sheetName val="Payment terms"/>
      <sheetName val="Fin Charg"/>
      <sheetName val="toshiba"/>
      <sheetName val="cashflow-doosan-27.11.07"/>
      <sheetName val="Summary"/>
      <sheetName val="CASH FLW cb"/>
      <sheetName val="gcb"/>
      <sheetName val="hp piping"/>
      <sheetName val="preop"/>
      <sheetName val="Coal oil"/>
      <sheetName val="final"/>
      <sheetName val="Proc sch2511"/>
      <sheetName val="TCE"/>
      <sheetName val="CASH FLW"/>
      <sheetName val="IDC-calcual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FY05"/>
      <sheetName val="CB_FY06"/>
      <sheetName val="RR_FY05"/>
      <sheetName val="RR_FY06"/>
      <sheetName val="ROE"/>
      <sheetName val="tax_fy06"/>
      <sheetName val="ins spares"/>
      <sheetName val="VRS"/>
      <sheetName val="Allo_Basis_FY06"/>
      <sheetName val="Allo_Basis_FY05"/>
      <sheetName val="Stat_inv"/>
      <sheetName val="Base Data"/>
      <sheetName val="Inputs_CB_06"/>
      <sheetName val="Input_GFA"/>
      <sheetName val="tax_fy06_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04|71"/>
      <sheetName val="03-04|72"/>
      <sheetName val="03-04|74"/>
      <sheetName val="03-04|75"/>
      <sheetName val="03-04|76"/>
      <sheetName val="03-04|77"/>
      <sheetName val="03-04|79"/>
      <sheetName val="03-04|83"/>
      <sheetName val="03-04|Master"/>
      <sheetName val="04R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Input to Regulations"/>
      <sheetName val="Impact- Normative O&amp;M Expenses"/>
      <sheetName val="Exst Norms VS Prop Norms"/>
      <sheetName val="Combined for new licensee"/>
      <sheetName val="exp-no vs act"/>
      <sheetName val="Allocation ratio"/>
      <sheetName val="Cktkm and Bays"/>
      <sheetName val="MSETCL Support"/>
      <sheetName val="TPC-T Support"/>
      <sheetName val="AEML-T Support"/>
      <sheetName val="JPTL Support"/>
      <sheetName val="ATIL Support"/>
      <sheetName val="VIPL-T Support"/>
      <sheetName val="APTCL Support"/>
      <sheetName val="MEGPTCL  Support"/>
      <sheetName val="2.3| CPI &amp; WPI"/>
      <sheetName val="Transmission Data"/>
      <sheetName val="MSETCL Norm"/>
      <sheetName val="TPC-T Norm"/>
      <sheetName val="AEML-T Norm"/>
      <sheetName val="VIPL-T Norm"/>
      <sheetName val="JPTL Norm"/>
      <sheetName val="ATIL Norm"/>
      <sheetName val="APTCL Norm"/>
      <sheetName val="Sinnar Norm"/>
      <sheetName val="Sinnar Sup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SUmm jan 05 "/>
      <sheetName val="TarSUmm jan 05  Cat"/>
      <sheetName val="TarSUmm Dec04  (3)"/>
      <sheetName val="TarSUmm Dec04  (2)"/>
      <sheetName val="TarSUmm Nov04  (2)"/>
      <sheetName val="per unit"/>
      <sheetName val="per unit (2)"/>
      <sheetName val="Sales FY05"/>
      <sheetName val="Revenue FY05"/>
      <sheetName val="Sales (FY04)"/>
      <sheetName val="Sheet1"/>
      <sheetName val="Sales (FY04) (2)"/>
      <sheetName val="En Ch FY05"/>
      <sheetName val="MD Ch FY05"/>
      <sheetName val="FAC Ch FY05"/>
      <sheetName val="En Ch FY04"/>
      <sheetName val="MD Ch FY04"/>
      <sheetName val="FAC Ch FY04"/>
      <sheetName val="Revenue(No TOSE &amp; StBy)"/>
      <sheetName val="Tariff (No TOSE &amp; StBy)"/>
      <sheetName val="MonthWise TS FY04"/>
      <sheetName val="Revenue FY04 (No TOSE)"/>
      <sheetName val="Tariff FY0 (No TOSE &amp; StBy)"/>
      <sheetName val="REL FAC 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FY05"/>
      <sheetName val="CB_FY06"/>
      <sheetName val="RR_FY05"/>
      <sheetName val="RR_FY06"/>
      <sheetName val="ROE"/>
      <sheetName val="tax_fy06"/>
      <sheetName val="ins spares"/>
      <sheetName val="VRS"/>
      <sheetName val="Allo_Basis_FY06"/>
      <sheetName val="Allo_Basis_FY05"/>
      <sheetName val="Stat_inv"/>
      <sheetName val="Base Data"/>
      <sheetName val="Inputs_CB_06"/>
      <sheetName val="Input_GFA"/>
      <sheetName val="tax_fy06_old"/>
      <sheetName val="ins_spares"/>
      <sheetName val="Base_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
      <sheetName val="Consumers"/>
      <sheetName val="Sales"/>
      <sheetName val="LT-Rev"/>
      <sheetName val="HT-Rev"/>
      <sheetName val="TP"/>
      <sheetName val="Surplus, Deficit"/>
      <sheetName val="ARR_MYT"/>
      <sheetName val="CSEB"/>
      <sheetName val="CSPGCL"/>
      <sheetName val="CSPTCL"/>
      <sheetName val="CSPDCL"/>
      <sheetName val="Pension and Gratuity"/>
      <sheetName val="Tr. Loss"/>
      <sheetName val="Working Technical"/>
      <sheetName val="Power purchase cost"/>
      <sheetName val="PP_Write-up"/>
      <sheetName val="Assumption"/>
      <sheetName val="Working Financial"/>
      <sheetName val="R4_FY15"/>
      <sheetName val="Sheet2"/>
      <sheetName val="Depreciation"/>
      <sheetName val="Allocation WR benchmarking"/>
      <sheetName val="Wheeling"/>
      <sheetName val="DISTRIBUTION"/>
      <sheetName val="Index"/>
      <sheetName val="S1"/>
      <sheetName val="S1_old"/>
      <sheetName val="S2_New"/>
      <sheetName val="S2"/>
      <sheetName val="S4"/>
      <sheetName val="F1"/>
      <sheetName val="F2"/>
      <sheetName val="F3"/>
      <sheetName val="F4"/>
      <sheetName val="F5"/>
      <sheetName val="F6"/>
      <sheetName val=" F7"/>
      <sheetName val="F8_New"/>
      <sheetName val="F8"/>
      <sheetName val="F9"/>
      <sheetName val="F 10"/>
      <sheetName val="F11"/>
      <sheetName val="F12"/>
      <sheetName val="F 13"/>
      <sheetName val="F14"/>
      <sheetName val="F15"/>
      <sheetName val="F16"/>
      <sheetName val="F17"/>
      <sheetName val="F18"/>
      <sheetName val="F19"/>
      <sheetName val="F20"/>
      <sheetName val="R1"/>
      <sheetName val="R1a"/>
      <sheetName val="R2A"/>
      <sheetName val="R2B"/>
      <sheetName val="R3"/>
      <sheetName val="R4_New"/>
      <sheetName val="R4"/>
      <sheetName val="R5"/>
      <sheetName val="R6"/>
      <sheetName val="R7"/>
      <sheetName val="R8"/>
      <sheetName val="R9"/>
      <sheetName val="R10"/>
      <sheetName val="R11"/>
      <sheetName val="R12_New"/>
      <sheetName val="R12 "/>
      <sheetName val="R13_New"/>
      <sheetName val="R13 "/>
      <sheetName val="R14"/>
      <sheetName val="R 15"/>
      <sheetName val="R16"/>
      <sheetName val="R 17"/>
      <sheetName val="R12"/>
      <sheetName val="ARR"/>
      <sheetName val="R12P"/>
      <sheetName val="R12P_New"/>
      <sheetName val="R13"/>
      <sheetName val="R13P"/>
      <sheetName val="R13P_New"/>
      <sheetName val="TS"/>
      <sheetName val="Sheet1"/>
    </sheetNames>
    <sheetDataSet>
      <sheetData sheetId="0"/>
      <sheetData sheetId="1"/>
      <sheetData sheetId="2"/>
      <sheetData sheetId="3"/>
      <sheetData sheetId="4"/>
      <sheetData sheetId="5"/>
      <sheetData sheetId="6"/>
      <sheetData sheetId="7">
        <row r="1">
          <cell r="AR1" t="str">
            <v>Yes</v>
          </cell>
        </row>
        <row r="2">
          <cell r="AR2" t="str">
            <v>No</v>
          </cell>
        </row>
      </sheetData>
      <sheetData sheetId="8"/>
      <sheetData sheetId="9"/>
      <sheetData sheetId="10"/>
      <sheetData sheetId="11"/>
      <sheetData sheetId="12"/>
      <sheetData sheetId="13"/>
      <sheetData sheetId="14"/>
      <sheetData sheetId="15"/>
      <sheetData sheetId="16"/>
      <sheetData sheetId="17">
        <row r="91">
          <cell r="AE91" t="str">
            <v>FY 17</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5">
          <cell r="G35">
            <v>64254.226096970044</v>
          </cell>
          <cell r="H35">
            <v>59093.238057586968</v>
          </cell>
          <cell r="I35">
            <v>63490.540060935658</v>
          </cell>
        </row>
        <row r="44">
          <cell r="G44">
            <v>24259.407938726315</v>
          </cell>
          <cell r="H44">
            <v>16526.511773419461</v>
          </cell>
          <cell r="I44">
            <v>17654.636270525258</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 val="dpc cost"/>
      <sheetName val="SUMMERY"/>
      <sheetName val="A 3_7"/>
      <sheetName val="form_x0000__x0000__x0000__x0000__x0000__x0000__x0000__x0000__x0000__x0000__x0000__x0000__x0000_"/>
      <sheetName val=""/>
      <sheetName val="form"/>
      <sheetName val="A-1_1_"/>
      <sheetName val="A_2_1_PY"/>
      <sheetName val="A_2_1_CY"/>
      <sheetName val="A_2_1_EY"/>
      <sheetName val="A_2_2"/>
      <sheetName val="A_2_3"/>
      <sheetName val="Power_Pur_3_1_(PY)"/>
      <sheetName val="Power_Pur_3_1_(CY)"/>
      <sheetName val="Power_Pur_3_1_(EY)"/>
      <sheetName val="A_3_2"/>
      <sheetName val="A_3_3_PY"/>
      <sheetName val="A_3_3_CY"/>
      <sheetName val="A_3_3_EY"/>
      <sheetName val="A_3_4"/>
      <sheetName val="A_3_5"/>
      <sheetName val="A_3_6_(PY)"/>
      <sheetName val="A_3_6_(CY)"/>
      <sheetName val="A_3_6_(EY)"/>
      <sheetName val="A_3_7"/>
      <sheetName val="A_3_8"/>
      <sheetName val="A_3_9"/>
      <sheetName val="A_3_10_"/>
      <sheetName val="A-5_1(PY)"/>
      <sheetName val="A-5_1(CY)_"/>
      <sheetName val="A-5_1(EY)"/>
      <sheetName val="A-5_2(PY)"/>
      <sheetName val="A-5_2(CY)"/>
      <sheetName val="A-5_2(EY)"/>
      <sheetName val="A_-5_3"/>
      <sheetName val="form_6_1_(PY)_Gen"/>
      <sheetName val="form_6_1(PY)T&amp;D_"/>
      <sheetName val="form_6_1_(CY)_Gen"/>
      <sheetName val="form_6_1(CY)_T&amp;D"/>
      <sheetName val="form_6_1_(EY)_Gen_"/>
      <sheetName val="form_6_1(EY)_T&amp;D"/>
      <sheetName val="A_7_1"/>
      <sheetName val="A_7_2"/>
      <sheetName val="A_7_3"/>
      <sheetName val="A_7_4"/>
      <sheetName val="A_8_1"/>
      <sheetName val="A_8_2"/>
      <sheetName val="A_8_3"/>
      <sheetName val="A_8_4"/>
      <sheetName val="A_8_5"/>
      <sheetName val="A_8_6"/>
      <sheetName val="A_8_7"/>
      <sheetName val="A_8_8"/>
      <sheetName val="A_8_9"/>
      <sheetName val="A_8_10"/>
      <sheetName val="8_11_PY"/>
      <sheetName val="8_11_CY"/>
      <sheetName val="8_11_EY"/>
      <sheetName val="A-10_1"/>
      <sheetName val="A_10_2_(A)"/>
      <sheetName val="A_10_2_B"/>
      <sheetName val="A_10_2_C"/>
      <sheetName val="A_10_2_D"/>
      <sheetName val="A_10_3"/>
      <sheetName val="A_10_4"/>
      <sheetName val="Rev_Calculation"/>
      <sheetName val="A_9_1"/>
      <sheetName val="form?????????????"/>
      <sheetName val="form_x0000_"/>
      <sheetName val="04REL"/>
      <sheetName val="Sept "/>
      <sheetName val="7"/>
      <sheetName val="Salient1"/>
      <sheetName val="Labour charges"/>
      <sheetName val="RAJ"/>
      <sheetName val="Feb-06"/>
      <sheetName val="Inputs"/>
      <sheetName val="form_____________"/>
      <sheetName val="form_x0000__x0000__x0000__x0000"/>
      <sheetName val="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5">
          <cell r="G35">
            <v>64254.226096970044</v>
          </cell>
          <cell r="H35">
            <v>59093.238057586968</v>
          </cell>
          <cell r="I35">
            <v>63490.540060935658</v>
          </cell>
        </row>
        <row r="44">
          <cell r="G44">
            <v>24259.407938726315</v>
          </cell>
          <cell r="H44">
            <v>16526.511773419461</v>
          </cell>
          <cell r="I44">
            <v>17654.636270525258</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000"/>
      <sheetName val="#1 Misc Pipe"/>
      <sheetName val="당진(기타)"/>
      <sheetName val="당진1Drip Shield"/>
      <sheetName val="당진2Drip Shield "/>
      <sheetName val="DJ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V"/>
      <sheetName val="P-LIST"/>
      <sheetName val="운송"/>
      <sheetName val="SIV (2)"/>
      <sheetName val="Sheet1"/>
      <sheetName val="Sheet2"/>
      <sheetName val="Sheet3"/>
      <sheetName val="SIV_(2)"/>
      <sheetName val="현장지지물물량"/>
      <sheetName val="License Are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Sheet"/>
      <sheetName val="EB_MO_FY08"/>
      <sheetName val="Dailysource"/>
    </sheetNames>
    <sheetDataSet>
      <sheetData sheetId="0"/>
      <sheetData sheetId="1" refreshError="1"/>
      <sheetData sheetId="2"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SUmm jan 05 "/>
      <sheetName val="TarSUmm jan 05  Cat"/>
      <sheetName val="TarSUmm Dec04  (3)"/>
      <sheetName val="TarSUmm Dec04  (2)"/>
      <sheetName val="TarSUmm Nov04  (2)"/>
      <sheetName val="per unit"/>
      <sheetName val="per unit (2)"/>
      <sheetName val="Sales FY05"/>
      <sheetName val="Revenue FY05"/>
      <sheetName val="Sales (FY04)"/>
      <sheetName val="Sheet1"/>
      <sheetName val="Sales (FY04) (2)"/>
      <sheetName val="En Ch FY05"/>
      <sheetName val="MD Ch FY05"/>
      <sheetName val="FAC Ch FY05"/>
      <sheetName val="En Ch FY04"/>
      <sheetName val="MD Ch FY04"/>
      <sheetName val="FAC Ch FY04"/>
      <sheetName val="Revenue(No TOSE &amp; StBy)"/>
      <sheetName val="Tariff (No TOSE &amp; StBy)"/>
      <sheetName val="MonthWise TS FY04"/>
      <sheetName val="Revenue FY04 (No TOSE)"/>
      <sheetName val="Tariff FY0 (No TOSE &amp; StBy)"/>
      <sheetName val="REL FAC Os"/>
      <sheetName val="Input_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input"/>
      <sheetName val="Daily report"/>
      <sheetName val="OCM2"/>
      <sheetName val="OCM4"/>
      <sheetName val="OCM1"/>
      <sheetName val="OCM3"/>
      <sheetName val="OCM5"/>
      <sheetName val="OCM7"/>
      <sheetName val="INDEX"/>
      <sheetName val="OCM6"/>
      <sheetName val="highlight"/>
      <sheetName val="water"/>
      <sheetName val="AWARD"/>
      <sheetName val="CE"/>
      <sheetName val="hrawd"/>
      <sheetName val="Assumptions"/>
      <sheetName val="A 3.7"/>
      <sheetName val="water_bal"/>
      <sheetName val="Daily_input"/>
      <sheetName val="Daily_report"/>
      <sheetName val="A_3_7"/>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sheetData sheetId="19"/>
      <sheetData sheetId="20"/>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WiseData"/>
      <sheetName val="Weather"/>
      <sheetName val="DEMAND"/>
      <sheetName val="SourceWise"/>
      <sheetName val="DIRECTOR'S"/>
      <sheetName val="DIRECTOR'S Spl"/>
      <sheetName val="ODUD"/>
      <sheetName val="MinVoltage"/>
      <sheetName val="MiscDataEntry"/>
      <sheetName val="CE1"/>
      <sheetName val="CE2"/>
      <sheetName val="7 DAYS"/>
      <sheetName val="PSP1"/>
      <sheetName val="PSP2"/>
      <sheetName val="Data"/>
      <sheetName val="TraderingDetails"/>
      <sheetName val="SYSTEM DATA"/>
      <sheetName val="CEA"/>
      <sheetName val="PsDataEntry"/>
      <sheetName val="REG10"/>
      <sheetName val="CM's (New)"/>
      <sheetName val="CM's"/>
      <sheetName val="HydroDatails"/>
      <sheetName val="Rl-Ul-Hz-ScH"/>
      <sheetName val="Member 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59">
          <cell r="C59">
            <v>151.44</v>
          </cell>
        </row>
      </sheetData>
      <sheetData sheetId="13" refreshError="1"/>
      <sheetData sheetId="14" refreshError="1"/>
      <sheetData sheetId="15" refreshError="1"/>
      <sheetData sheetId="16" refreshError="1"/>
      <sheetData sheetId="17" refreshError="1"/>
      <sheetData sheetId="18" refreshError="1">
        <row r="80">
          <cell r="B80">
            <v>3.75</v>
          </cell>
        </row>
      </sheetData>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 Access Charges"/>
      <sheetName val="Sheet1"/>
      <sheetName val="Financial Estimates"/>
    </sheetNames>
    <sheetDataSet>
      <sheetData sheetId="0" refreshError="1"/>
      <sheetData sheetId="1" refreshError="1">
        <row r="2">
          <cell r="C2">
            <v>0.8</v>
          </cell>
        </row>
      </sheetData>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FY05"/>
      <sheetName val="CB_FY06"/>
      <sheetName val="RR_FY05"/>
      <sheetName val="RR_FY06"/>
      <sheetName val="ROE"/>
      <sheetName val="tax_fy06"/>
      <sheetName val="ins spares"/>
      <sheetName val="VRS"/>
      <sheetName val="Allo_Basis_FY06"/>
      <sheetName val="Allo_Basis_FY05"/>
      <sheetName val="Stat_inv"/>
      <sheetName val="Base Data"/>
      <sheetName val="Inputs_CB_06"/>
      <sheetName val="Input_GFA"/>
      <sheetName val="tax_fy06_old"/>
      <sheetName val="Financial Estimate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괄 (10)"/>
      <sheetName val="내역 (10)"/>
      <sheetName val="총괄 (9)"/>
      <sheetName val="내역 (9)"/>
      <sheetName val="총괄 (8)"/>
      <sheetName val="내역 (8)"/>
      <sheetName val="총괄 (7)"/>
      <sheetName val="내역 (7)"/>
      <sheetName val="총괄 (6)"/>
      <sheetName val="내역 (6)"/>
      <sheetName val="총괄 (5)"/>
      <sheetName val="내역 (5)"/>
      <sheetName val="총괄 (4)"/>
      <sheetName val="내역 (4)"/>
      <sheetName val="총괄 (3)"/>
      <sheetName val="내역 (3)"/>
      <sheetName val="총괄 (2)"/>
      <sheetName val="내역 (2)"/>
      <sheetName val="총괄 (1)"/>
      <sheetName val="내역 (1)"/>
      <sheetName val="내역서 EC07"/>
      <sheetName val="계산서 EC07"/>
      <sheetName val="계산서 EC06"/>
      <sheetName val="내역서 EC06"/>
      <sheetName val="계산서 EC05"/>
      <sheetName val="내역서 EC05"/>
      <sheetName val="계산서 EC04"/>
      <sheetName val="내역서 EC04"/>
      <sheetName val="계산서 EC03"/>
      <sheetName val="내역서 EC03"/>
      <sheetName val="내역서 EC02"/>
      <sheetName val="계산서 EC02"/>
      <sheetName val="내역서 EC01"/>
      <sheetName val="계산서 EC01"/>
      <sheetName val="계측"/>
      <sheetName val="계측총괄"/>
      <sheetName val="00,집계표"/>
      <sheetName val="매크로"/>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IGHT COST (g) (2)"/>
      <sheetName val="WEIGHT COST (g)"/>
      <sheetName val="cos-04-05 "/>
      <sheetName val="ptc-mnt"/>
      <sheetName val="cos-02-03 "/>
      <sheetName val="cos-03-04"/>
      <sheetName val="cos-01-02"/>
      <sheetName val="cos-01-02 (vs)"/>
      <sheetName val="jindal-hindi (vs)"/>
      <sheetName val="Sheet3"/>
      <sheetName val="N T P C"/>
      <sheetName val="Sheet2"/>
      <sheetName val="N P C (paid)"/>
      <sheetName val="heg"/>
      <sheetName val="wrldc"/>
      <sheetName val="PGCIL"/>
      <sheetName val="N P C"/>
      <sheetName val="PGCIL 02-03"/>
      <sheetName val="Ispat Godavary"/>
      <sheetName val="CEC"/>
      <sheetName val="INDO LAHARI"/>
      <sheetName val="jindal-hindi"/>
      <sheetName val="Nico"/>
      <sheetName val="balco"/>
      <sheetName val="vandna"/>
      <sheetName val="prakash (infirm)"/>
      <sheetName val="Sheet1"/>
      <sheetName val="prakash"/>
      <sheetName val="mnt-purchase"/>
      <sheetName val="jindal"/>
      <sheetName val="jindal-GEB"/>
      <sheetName val="PTC 03-04"/>
      <sheetName val="PTC-pmt"/>
      <sheetName val="PTC 04-05"/>
      <sheetName val="NTPCVVN"/>
      <sheetName val="WEIGHT COST (g)copy"/>
      <sheetName val="CSP sha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5">
          <cell r="I35">
            <v>63490.540060935658</v>
          </cell>
        </row>
        <row r="44">
          <cell r="I44">
            <v>17654.636270525258</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 val="A-1_1_"/>
      <sheetName val="A_2_1_PY"/>
      <sheetName val="A_2_1_CY"/>
      <sheetName val="A_2_1_EY"/>
      <sheetName val="A_2_2"/>
      <sheetName val="A_2_3"/>
      <sheetName val="Power_Pur_3_1_(PY)"/>
      <sheetName val="Power_Pur_3_1_(CY)"/>
      <sheetName val="Power_Pur_3_1_(EY)"/>
      <sheetName val="A_3_2"/>
      <sheetName val="A_3_3_PY"/>
      <sheetName val="A_3_3_CY"/>
      <sheetName val="A_3_3_EY"/>
      <sheetName val="A_3_4"/>
      <sheetName val="A_3_5"/>
      <sheetName val="A_3_6_(PY)"/>
      <sheetName val="A_3_6_(CY)"/>
      <sheetName val="A_3_6_(EY)"/>
      <sheetName val="A_3_7"/>
      <sheetName val="A_3_8"/>
      <sheetName val="A_3_9"/>
      <sheetName val="A_3_10_"/>
      <sheetName val="A-5_1(PY)"/>
      <sheetName val="A-5_1(CY)_"/>
      <sheetName val="A-5_1(EY)"/>
      <sheetName val="A-5_2(PY)"/>
      <sheetName val="A-5_2(CY)"/>
      <sheetName val="A-5_2(EY)"/>
      <sheetName val="A_-5_3"/>
      <sheetName val="form_6_1_(PY)_Gen"/>
      <sheetName val="form_6_1(PY)T&amp;D_"/>
      <sheetName val="form_6_1_(CY)_Gen"/>
      <sheetName val="form_6_1(CY)_T&amp;D"/>
      <sheetName val="form_6_1_(EY)_Gen_"/>
      <sheetName val="form_6_1(EY)_T&amp;D"/>
      <sheetName val="A_7_1"/>
      <sheetName val="A_7_2"/>
      <sheetName val="A_7_3"/>
      <sheetName val="A_7_4"/>
      <sheetName val="A_8_1"/>
      <sheetName val="A_8_2"/>
      <sheetName val="A_8_3"/>
      <sheetName val="A_8_4"/>
      <sheetName val="A_8_5"/>
      <sheetName val="A_8_6"/>
      <sheetName val="A_8_7"/>
      <sheetName val="A_8_8"/>
      <sheetName val="A_8_9"/>
      <sheetName val="A_8_10"/>
      <sheetName val="8_11_PY"/>
      <sheetName val="8_11_CY"/>
      <sheetName val="8_11_EY"/>
      <sheetName val="A-10_1"/>
      <sheetName val="A_10_2_(A)"/>
      <sheetName val="A_10_2_B"/>
      <sheetName val="A_10_2_C"/>
      <sheetName val="A_10_2_D"/>
      <sheetName val="A_10_3"/>
      <sheetName val="A_10_4"/>
      <sheetName val="Rev_Calculation"/>
      <sheetName val="A_9_1"/>
      <sheetName val="A 3_7"/>
      <sheetName val="Loan Posi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5">
          <cell r="I35">
            <v>63490.540060935658</v>
          </cell>
        </row>
        <row r="44">
          <cell r="I44">
            <v>17654.636270525258</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ReadMe"/>
      <sheetName val="Input data"/>
      <sheetName val="Memo table"/>
      <sheetName val="MERC Formats"/>
      <sheetName val="FAC (Mth to Mth)"/>
      <sheetName val="Actual Perf"/>
      <sheetName val="FAC (Running FAC)"/>
      <sheetName val="FAC (Mth to Mth Summ)"/>
      <sheetName val="TariffOrder values"/>
      <sheetName val="Disallowances"/>
      <sheetName val="ChangeInCost"/>
      <sheetName val="Approtionment"/>
      <sheetName val="FAC (Running FAC with MSEB)"/>
      <sheetName val="Purch-Dec05"/>
      <sheetName val="Rev@NewTar"/>
      <sheetName val="tmp"/>
      <sheetName val="per unit"/>
    </sheetNames>
    <sheetDataSet>
      <sheetData sheetId="0"/>
      <sheetData sheetId="1"/>
      <sheetData sheetId="2"/>
      <sheetData sheetId="3"/>
      <sheetData sheetId="4"/>
      <sheetData sheetId="5"/>
      <sheetData sheetId="6"/>
      <sheetData sheetId="7"/>
      <sheetData sheetId="8" refreshError="1">
        <row r="21">
          <cell r="B21">
            <v>38443</v>
          </cell>
          <cell r="C21">
            <v>912.35970686999997</v>
          </cell>
          <cell r="D21">
            <v>0</v>
          </cell>
          <cell r="E21">
            <v>8.7531449101420975</v>
          </cell>
          <cell r="F21">
            <v>0</v>
          </cell>
          <cell r="G21">
            <v>0</v>
          </cell>
          <cell r="H21">
            <v>8.7531449101420975</v>
          </cell>
          <cell r="J21">
            <v>-8.5224454624684594</v>
          </cell>
          <cell r="K21">
            <v>-34.275600273057563</v>
          </cell>
          <cell r="L21">
            <v>-42.798045735526024</v>
          </cell>
          <cell r="P21">
            <v>1.5895999999999998E-4</v>
          </cell>
        </row>
        <row r="22">
          <cell r="B22">
            <v>38473</v>
          </cell>
          <cell r="C22">
            <v>921.48856249999994</v>
          </cell>
          <cell r="D22">
            <v>0</v>
          </cell>
          <cell r="E22">
            <v>10.825945055500185</v>
          </cell>
          <cell r="F22">
            <v>0</v>
          </cell>
          <cell r="G22">
            <v>0</v>
          </cell>
          <cell r="H22">
            <v>10.825945055500185</v>
          </cell>
          <cell r="J22">
            <v>-12.965510284044486</v>
          </cell>
          <cell r="K22">
            <v>-6.3025277077675961</v>
          </cell>
          <cell r="L22">
            <v>-19.268037991812083</v>
          </cell>
          <cell r="P22">
            <v>2.283696E-3</v>
          </cell>
        </row>
        <row r="23">
          <cell r="B23">
            <v>38504</v>
          </cell>
          <cell r="C23">
            <v>953.67422450000004</v>
          </cell>
          <cell r="D23">
            <v>0</v>
          </cell>
          <cell r="E23">
            <v>31.765384524745581</v>
          </cell>
          <cell r="F23">
            <v>0</v>
          </cell>
          <cell r="G23">
            <v>0</v>
          </cell>
          <cell r="H23">
            <v>31.765384524745581</v>
          </cell>
          <cell r="I23">
            <v>31.765384524745581</v>
          </cell>
          <cell r="J23">
            <v>8.7531449101420975</v>
          </cell>
          <cell r="K23">
            <v>-42.798204695526024</v>
          </cell>
          <cell r="L23">
            <v>-34.045059785383927</v>
          </cell>
          <cell r="M23">
            <v>-37</v>
          </cell>
          <cell r="N23">
            <v>20.7</v>
          </cell>
          <cell r="O23">
            <v>-37</v>
          </cell>
          <cell r="P23">
            <v>1.6431668999999999E-2</v>
          </cell>
        </row>
        <row r="24">
          <cell r="B24">
            <v>38534</v>
          </cell>
          <cell r="C24">
            <v>857.55908499999998</v>
          </cell>
          <cell r="D24">
            <v>7.6763663608600474</v>
          </cell>
          <cell r="E24">
            <v>27.405350648586118</v>
          </cell>
          <cell r="F24">
            <v>0</v>
          </cell>
          <cell r="H24">
            <v>27.405350648586118</v>
          </cell>
          <cell r="I24">
            <v>59.1707351733317</v>
          </cell>
          <cell r="J24">
            <v>10.825945055500185</v>
          </cell>
          <cell r="K24">
            <v>-19.270321687812082</v>
          </cell>
          <cell r="L24">
            <v>-8.4443766323118972</v>
          </cell>
          <cell r="M24">
            <v>-9</v>
          </cell>
          <cell r="N24">
            <v>20.7</v>
          </cell>
          <cell r="O24">
            <v>-9</v>
          </cell>
          <cell r="P24">
            <v>0</v>
          </cell>
        </row>
        <row r="25">
          <cell r="B25">
            <v>38565</v>
          </cell>
          <cell r="C25">
            <v>858.52010299999995</v>
          </cell>
          <cell r="D25">
            <v>17.978372768207862</v>
          </cell>
          <cell r="E25">
            <v>12.607971445217576</v>
          </cell>
          <cell r="F25">
            <v>0</v>
          </cell>
          <cell r="G25">
            <v>0</v>
          </cell>
          <cell r="H25">
            <v>12.607971445217576</v>
          </cell>
          <cell r="I25">
            <v>71.778706618549279</v>
          </cell>
          <cell r="J25">
            <v>31.765384524745581</v>
          </cell>
          <cell r="K25">
            <v>-34.061491454383926</v>
          </cell>
          <cell r="L25">
            <v>-2.296106929638345</v>
          </cell>
          <cell r="M25">
            <v>-2</v>
          </cell>
          <cell r="N25">
            <v>20.7</v>
          </cell>
          <cell r="O25">
            <v>-2</v>
          </cell>
          <cell r="P25">
            <v>0</v>
          </cell>
        </row>
        <row r="26">
          <cell r="B26">
            <v>38596</v>
          </cell>
          <cell r="C26">
            <v>1007.752671</v>
          </cell>
          <cell r="D26">
            <v>0</v>
          </cell>
          <cell r="E26">
            <v>25.747932457520623</v>
          </cell>
          <cell r="F26">
            <v>0</v>
          </cell>
          <cell r="G26">
            <v>0</v>
          </cell>
          <cell r="H26">
            <v>25.747932457520623</v>
          </cell>
          <cell r="I26">
            <v>97.526639076069898</v>
          </cell>
          <cell r="J26">
            <v>27.405350648586118</v>
          </cell>
          <cell r="K26">
            <v>-8.4443766323118972</v>
          </cell>
          <cell r="L26">
            <v>18.960974016274221</v>
          </cell>
          <cell r="M26">
            <v>22</v>
          </cell>
          <cell r="N26">
            <v>20.7</v>
          </cell>
          <cell r="O26">
            <v>20.7</v>
          </cell>
          <cell r="P26">
            <v>18.349204176000057</v>
          </cell>
        </row>
        <row r="27">
          <cell r="B27">
            <v>38626</v>
          </cell>
          <cell r="C27">
            <v>957.31288700000005</v>
          </cell>
          <cell r="D27">
            <v>0.44518075860396422</v>
          </cell>
          <cell r="E27">
            <v>81.968620405799953</v>
          </cell>
          <cell r="F27">
            <v>0</v>
          </cell>
          <cell r="G27">
            <v>0</v>
          </cell>
          <cell r="H27">
            <v>81.968620405799953</v>
          </cell>
          <cell r="I27">
            <v>179.49525948186985</v>
          </cell>
          <cell r="J27">
            <v>12.607971445217576</v>
          </cell>
          <cell r="K27">
            <v>-2.296106929638345</v>
          </cell>
          <cell r="L27">
            <v>10.311864515579231</v>
          </cell>
          <cell r="M27">
            <v>12</v>
          </cell>
          <cell r="N27">
            <v>20.7</v>
          </cell>
          <cell r="O27">
            <v>12</v>
          </cell>
          <cell r="P27">
            <v>12.038489772000288</v>
          </cell>
        </row>
        <row r="28">
          <cell r="B28">
            <v>38657</v>
          </cell>
          <cell r="C28">
            <v>792.451866</v>
          </cell>
          <cell r="D28">
            <v>0</v>
          </cell>
          <cell r="E28">
            <v>49.253195426011239</v>
          </cell>
          <cell r="F28">
            <v>4.8848783257558802E-3</v>
          </cell>
          <cell r="G28">
            <v>0</v>
          </cell>
          <cell r="H28">
            <v>49.248310547685485</v>
          </cell>
          <cell r="I28">
            <v>228.74357002955534</v>
          </cell>
          <cell r="J28">
            <v>25.747932457520623</v>
          </cell>
          <cell r="K28">
            <v>0.61176984027416381</v>
          </cell>
          <cell r="L28">
            <v>26.359702297794787</v>
          </cell>
          <cell r="M28">
            <v>26</v>
          </cell>
          <cell r="N28">
            <v>20.7</v>
          </cell>
          <cell r="O28">
            <v>20.7</v>
          </cell>
          <cell r="P28">
            <v>19.996818122000033</v>
          </cell>
        </row>
        <row r="29">
          <cell r="B29">
            <v>38687</v>
          </cell>
          <cell r="C29">
            <v>758.07120499999996</v>
          </cell>
          <cell r="D29">
            <v>0.73432430299994778</v>
          </cell>
          <cell r="E29">
            <v>42.676405030408958</v>
          </cell>
          <cell r="F29">
            <v>0</v>
          </cell>
          <cell r="G29">
            <v>0</v>
          </cell>
          <cell r="H29">
            <v>42.676405030408958</v>
          </cell>
          <cell r="I29">
            <v>271.41997505996432</v>
          </cell>
          <cell r="J29">
            <v>81.968620405799953</v>
          </cell>
          <cell r="K29">
            <v>-1.7266252564210571</v>
          </cell>
          <cell r="L29">
            <v>80.241995149378894</v>
          </cell>
          <cell r="M29">
            <v>84</v>
          </cell>
          <cell r="N29">
            <v>20.7</v>
          </cell>
          <cell r="O29">
            <v>20.7</v>
          </cell>
          <cell r="P29">
            <v>16.645479757999851</v>
          </cell>
        </row>
        <row r="30">
          <cell r="B30">
            <v>38718</v>
          </cell>
          <cell r="C30">
            <v>731.51615700000002</v>
          </cell>
          <cell r="D30">
            <v>2.6891918095966076</v>
          </cell>
          <cell r="E30">
            <v>84.40975563211218</v>
          </cell>
          <cell r="F30">
            <v>0</v>
          </cell>
          <cell r="H30">
            <v>84.40975563211218</v>
          </cell>
          <cell r="I30">
            <v>355.82973069207651</v>
          </cell>
          <cell r="J30">
            <v>49.248310547685485</v>
          </cell>
          <cell r="K30">
            <v>6.3628841757947541</v>
          </cell>
          <cell r="L30">
            <v>55.611194723480239</v>
          </cell>
          <cell r="M30">
            <v>70</v>
          </cell>
          <cell r="N30">
            <v>20.7</v>
          </cell>
          <cell r="O30">
            <v>20.7</v>
          </cell>
          <cell r="P30">
            <v>15.982246125000003</v>
          </cell>
        </row>
        <row r="31">
          <cell r="B31">
            <v>38749</v>
          </cell>
          <cell r="C31">
            <v>785.08427300000005</v>
          </cell>
          <cell r="D31">
            <v>0</v>
          </cell>
          <cell r="E31">
            <v>88.798479269009746</v>
          </cell>
          <cell r="F31">
            <v>0</v>
          </cell>
          <cell r="H31">
            <v>88.798479269009746</v>
          </cell>
          <cell r="I31">
            <v>444.62820996108627</v>
          </cell>
          <cell r="J31">
            <v>42.676405030408958</v>
          </cell>
          <cell r="K31">
            <v>63.596515391379043</v>
          </cell>
          <cell r="L31">
            <v>106.272920421788</v>
          </cell>
          <cell r="M31">
            <v>140</v>
          </cell>
          <cell r="N31">
            <v>20.7</v>
          </cell>
          <cell r="O31">
            <v>20.7</v>
          </cell>
          <cell r="P31">
            <v>15.487321558999998</v>
          </cell>
        </row>
        <row r="32">
          <cell r="B32">
            <v>38777</v>
          </cell>
          <cell r="C32">
            <v>885.49503800000002</v>
          </cell>
          <cell r="D32">
            <v>9.1125845310039857</v>
          </cell>
          <cell r="E32">
            <v>41.234682847842151</v>
          </cell>
          <cell r="F32">
            <v>0</v>
          </cell>
          <cell r="H32">
            <v>41.234682847842151</v>
          </cell>
          <cell r="I32">
            <v>485.86289280892845</v>
          </cell>
          <cell r="J32">
            <v>84.40975563211218</v>
          </cell>
          <cell r="K32">
            <v>39.628948598480235</v>
          </cell>
          <cell r="L32">
            <v>124.03870423059242</v>
          </cell>
          <cell r="M32">
            <v>169</v>
          </cell>
          <cell r="N32">
            <v>20.7</v>
          </cell>
          <cell r="O32">
            <v>20.7</v>
          </cell>
          <cell r="P32">
            <v>16.366669048000002</v>
          </cell>
        </row>
        <row r="33">
          <cell r="B33">
            <v>38808</v>
          </cell>
          <cell r="C33">
            <v>927.65004599999997</v>
          </cell>
          <cell r="D33">
            <v>0</v>
          </cell>
          <cell r="E33">
            <v>53.203486007437007</v>
          </cell>
          <cell r="F33">
            <v>0</v>
          </cell>
          <cell r="H33">
            <v>53.203486007437007</v>
          </cell>
          <cell r="J33">
            <v>88.798479269009746</v>
          </cell>
          <cell r="K33">
            <v>90.785598862788007</v>
          </cell>
          <cell r="L33">
            <v>179.58407813179775</v>
          </cell>
          <cell r="M33">
            <v>229</v>
          </cell>
          <cell r="N33">
            <v>20.7</v>
          </cell>
          <cell r="O33">
            <v>20.7</v>
          </cell>
          <cell r="P33">
            <v>18.710808059000005</v>
          </cell>
        </row>
        <row r="34">
          <cell r="B34">
            <v>38838</v>
          </cell>
          <cell r="C34">
            <v>995.59135900000001</v>
          </cell>
          <cell r="D34">
            <v>5.104326032928018</v>
          </cell>
          <cell r="E34">
            <v>110.67401118321864</v>
          </cell>
          <cell r="F34">
            <v>0</v>
          </cell>
          <cell r="H34">
            <v>110.67401118321864</v>
          </cell>
          <cell r="J34">
            <v>41.234682847842151</v>
          </cell>
          <cell r="K34">
            <v>107.67203518259241</v>
          </cell>
          <cell r="L34">
            <v>148.90671803043455</v>
          </cell>
          <cell r="M34">
            <v>166</v>
          </cell>
          <cell r="N34">
            <v>20.7</v>
          </cell>
          <cell r="O34">
            <v>20.7</v>
          </cell>
          <cell r="P34">
            <v>19.372160891999993</v>
          </cell>
        </row>
        <row r="35">
          <cell r="B35">
            <v>38869</v>
          </cell>
          <cell r="C35">
            <v>987.04597200000001</v>
          </cell>
          <cell r="D35">
            <v>0</v>
          </cell>
          <cell r="E35">
            <v>85.684876029405146</v>
          </cell>
          <cell r="F35">
            <v>0</v>
          </cell>
          <cell r="H35">
            <v>85.684876029405146</v>
          </cell>
          <cell r="J35">
            <v>53.203486007437007</v>
          </cell>
          <cell r="K35">
            <v>160.87327007279774</v>
          </cell>
          <cell r="L35">
            <v>214.07675608023476</v>
          </cell>
          <cell r="M35">
            <v>231</v>
          </cell>
          <cell r="N35">
            <v>20.7</v>
          </cell>
          <cell r="O35">
            <v>20.7</v>
          </cell>
          <cell r="P35">
            <v>21.067656329999998</v>
          </cell>
        </row>
        <row r="36">
          <cell r="B36">
            <v>38899</v>
          </cell>
          <cell r="C36">
            <v>916.96296258099994</v>
          </cell>
          <cell r="D36">
            <v>0.59866119785182192</v>
          </cell>
          <cell r="E36">
            <v>92.984247192748811</v>
          </cell>
          <cell r="F36">
            <v>0</v>
          </cell>
          <cell r="H36">
            <v>92.984247192748811</v>
          </cell>
          <cell r="J36">
            <v>110.67401118321864</v>
          </cell>
          <cell r="K36">
            <v>129.53455713843456</v>
          </cell>
          <cell r="L36">
            <v>240.20856832165322</v>
          </cell>
          <cell r="M36">
            <v>240</v>
          </cell>
          <cell r="N36">
            <v>20.7</v>
          </cell>
          <cell r="O36">
            <v>20.7</v>
          </cell>
          <cell r="P36">
            <v>20.609815001999994</v>
          </cell>
        </row>
        <row r="37">
          <cell r="B37">
            <v>38930</v>
          </cell>
          <cell r="C37">
            <v>1023.286157419</v>
          </cell>
          <cell r="D37">
            <v>0</v>
          </cell>
          <cell r="E37">
            <v>32.564436331243357</v>
          </cell>
          <cell r="F37">
            <v>0</v>
          </cell>
          <cell r="H37">
            <v>32.564436331243357</v>
          </cell>
          <cell r="J37">
            <v>85.684876029405146</v>
          </cell>
          <cell r="K37">
            <v>193.00909975023475</v>
          </cell>
          <cell r="L37">
            <v>278.69397577963991</v>
          </cell>
          <cell r="M37">
            <v>282</v>
          </cell>
          <cell r="N37">
            <v>20.7</v>
          </cell>
          <cell r="O37">
            <v>20.7</v>
          </cell>
          <cell r="P37">
            <v>19.405590744000001</v>
          </cell>
        </row>
        <row r="38">
          <cell r="B38">
            <v>38961</v>
          </cell>
          <cell r="C38">
            <v>965.32026099999996</v>
          </cell>
          <cell r="D38">
            <v>0</v>
          </cell>
          <cell r="E38">
            <v>54.808279508052308</v>
          </cell>
          <cell r="F38">
            <v>0</v>
          </cell>
          <cell r="H38">
            <v>54.808279508052308</v>
          </cell>
          <cell r="J38">
            <v>92.984247192748811</v>
          </cell>
          <cell r="K38">
            <v>219.59875331965321</v>
          </cell>
          <cell r="L38">
            <v>312.58300051240201</v>
          </cell>
          <cell r="M38">
            <v>341</v>
          </cell>
          <cell r="N38">
            <v>20.7</v>
          </cell>
          <cell r="O38">
            <v>20.7</v>
          </cell>
          <cell r="P38">
            <v>21.549698222</v>
          </cell>
        </row>
        <row r="39">
          <cell r="B39">
            <v>38991</v>
          </cell>
          <cell r="C39">
            <v>0</v>
          </cell>
          <cell r="D39">
            <v>0</v>
          </cell>
          <cell r="E39">
            <v>0</v>
          </cell>
          <cell r="F39">
            <v>0</v>
          </cell>
          <cell r="H39">
            <v>0</v>
          </cell>
          <cell r="J39">
            <v>32.564436331243357</v>
          </cell>
          <cell r="K39">
            <v>259.28838503563992</v>
          </cell>
          <cell r="L39">
            <v>291.85282136688329</v>
          </cell>
          <cell r="M39">
            <v>285</v>
          </cell>
          <cell r="N39">
            <v>20.7</v>
          </cell>
          <cell r="O39">
            <v>20.7</v>
          </cell>
          <cell r="P39">
            <v>0</v>
          </cell>
        </row>
        <row r="40">
          <cell r="B40">
            <v>39022</v>
          </cell>
          <cell r="C40">
            <v>0</v>
          </cell>
          <cell r="D40">
            <v>0</v>
          </cell>
          <cell r="E40">
            <v>0</v>
          </cell>
          <cell r="F40">
            <v>0</v>
          </cell>
          <cell r="H40">
            <v>0</v>
          </cell>
          <cell r="J40">
            <v>54.808279508052308</v>
          </cell>
          <cell r="K40">
            <v>291.03330229040199</v>
          </cell>
          <cell r="L40">
            <v>345.84158179845429</v>
          </cell>
          <cell r="M40">
            <v>358</v>
          </cell>
          <cell r="N40">
            <v>20.7</v>
          </cell>
          <cell r="O40">
            <v>20.7</v>
          </cell>
          <cell r="P40">
            <v>0</v>
          </cell>
        </row>
        <row r="41">
          <cell r="B41">
            <v>39052</v>
          </cell>
          <cell r="C41">
            <v>0</v>
          </cell>
          <cell r="D41">
            <v>0</v>
          </cell>
          <cell r="E41">
            <v>0</v>
          </cell>
          <cell r="F41">
            <v>0</v>
          </cell>
          <cell r="H41">
            <v>0</v>
          </cell>
          <cell r="J41">
            <v>0</v>
          </cell>
          <cell r="K41">
            <v>291.85282136688329</v>
          </cell>
          <cell r="L41">
            <v>291.85282136688329</v>
          </cell>
          <cell r="M41">
            <v>0</v>
          </cell>
          <cell r="N41">
            <v>20.7</v>
          </cell>
          <cell r="O41">
            <v>0</v>
          </cell>
          <cell r="P41">
            <v>0</v>
          </cell>
        </row>
        <row r="42">
          <cell r="B42">
            <v>39083</v>
          </cell>
          <cell r="C42">
            <v>0</v>
          </cell>
          <cell r="D42">
            <v>0</v>
          </cell>
          <cell r="E42">
            <v>0</v>
          </cell>
          <cell r="F42">
            <v>0</v>
          </cell>
          <cell r="H42">
            <v>0</v>
          </cell>
          <cell r="J42">
            <v>0</v>
          </cell>
          <cell r="K42">
            <v>345.84158179845429</v>
          </cell>
          <cell r="L42">
            <v>345.84158179845429</v>
          </cell>
          <cell r="M42">
            <v>0</v>
          </cell>
          <cell r="N42">
            <v>20.7</v>
          </cell>
          <cell r="O42">
            <v>0</v>
          </cell>
          <cell r="P42">
            <v>0</v>
          </cell>
        </row>
        <row r="43">
          <cell r="B43">
            <v>39114</v>
          </cell>
          <cell r="C43">
            <v>0</v>
          </cell>
          <cell r="D43">
            <v>0</v>
          </cell>
          <cell r="E43">
            <v>0</v>
          </cell>
          <cell r="F43">
            <v>0</v>
          </cell>
          <cell r="H43">
            <v>0</v>
          </cell>
          <cell r="J43">
            <v>0</v>
          </cell>
          <cell r="K43">
            <v>291.85282136688329</v>
          </cell>
          <cell r="L43">
            <v>291.85282136688329</v>
          </cell>
          <cell r="M43">
            <v>0</v>
          </cell>
          <cell r="N43">
            <v>20.7</v>
          </cell>
          <cell r="O43">
            <v>0</v>
          </cell>
          <cell r="P43">
            <v>0</v>
          </cell>
        </row>
        <row r="44">
          <cell r="B44">
            <v>39142</v>
          </cell>
          <cell r="C44">
            <v>0</v>
          </cell>
          <cell r="D44">
            <v>0</v>
          </cell>
          <cell r="E44">
            <v>0</v>
          </cell>
          <cell r="F44">
            <v>0</v>
          </cell>
          <cell r="H44">
            <v>0</v>
          </cell>
          <cell r="J44">
            <v>0</v>
          </cell>
          <cell r="K44">
            <v>345.84158179845429</v>
          </cell>
          <cell r="L44">
            <v>345.84158179845429</v>
          </cell>
          <cell r="M44">
            <v>0</v>
          </cell>
          <cell r="N44">
            <v>20.7</v>
          </cell>
          <cell r="O44">
            <v>0</v>
          </cell>
          <cell r="P44">
            <v>0</v>
          </cell>
        </row>
      </sheetData>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
      <sheetName val="Sheet1"/>
      <sheetName val="Input Gen "/>
      <sheetName val="Gen+Fuel Cost(as per TO) Ann-2"/>
      <sheetName val="Gen+Fuel Cost (old TO) Ann-2"/>
      <sheetName val="Gen+Fuel Cost old"/>
      <sheetName val="Gen"/>
      <sheetName val="Gen+FAC"/>
      <sheetName val="Total Annex (2)"/>
      <sheetName val="BEST Bill (Generation+FAC)"/>
      <sheetName val="BEST Bill (Generation+Re FAC)"/>
      <sheetName val="BEST-Annex"/>
      <sheetName val="REL Bill (Generation+FAC)"/>
      <sheetName val="REL Bill (Generation+Re FAC)"/>
      <sheetName val="REL-Annex"/>
      <sheetName val="TPC-D (Generation) "/>
      <sheetName val="TPC-D (Gen)  revised UI rate"/>
      <sheetName val="TPC-D-Annex"/>
      <sheetName val="FAC (TPC-D) (TO Method)"/>
      <sheetName val="Tar Summ"/>
      <sheetName val="BEST Overdue"/>
      <sheetName val="BEST Bill (FAC Under-Recover)"/>
      <sheetName val="REL Bill (FAC Under-Recovery)"/>
      <sheetName val="Capacity Index Incentive"/>
      <sheetName val="Incentive-H1"/>
      <sheetName val="Incentive-H2"/>
      <sheetName val="Metered 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3">
          <cell r="B3" t="str">
            <v>Month</v>
          </cell>
          <cell r="C3" t="str">
            <v>22/33 kV</v>
          </cell>
          <cell r="D3" t="str">
            <v>100 kV</v>
          </cell>
          <cell r="E3" t="str">
            <v>Total</v>
          </cell>
          <cell r="F3" t="str">
            <v>22/33 kV</v>
          </cell>
          <cell r="G3" t="str">
            <v>220 kV (F)</v>
          </cell>
          <cell r="H3" t="str">
            <v>220 kV (R)</v>
          </cell>
          <cell r="I3" t="str">
            <v>Total</v>
          </cell>
          <cell r="K3" t="str">
            <v>Net</v>
          </cell>
          <cell r="L3" t="str">
            <v>Metered</v>
          </cell>
          <cell r="M3">
            <v>53414606.5</v>
          </cell>
          <cell r="N3" t="str">
            <v>Net</v>
          </cell>
        </row>
        <row r="4">
          <cell r="B4">
            <v>39173</v>
          </cell>
          <cell r="C4">
            <v>390593688</v>
          </cell>
          <cell r="E4">
            <v>390593688</v>
          </cell>
          <cell r="F4">
            <v>303126840</v>
          </cell>
          <cell r="G4">
            <v>136444000</v>
          </cell>
          <cell r="H4">
            <v>0</v>
          </cell>
          <cell r="I4">
            <v>439570840</v>
          </cell>
          <cell r="J4">
            <v>212013218.5</v>
          </cell>
          <cell r="K4">
            <v>49688000</v>
          </cell>
          <cell r="L4">
            <v>209041823</v>
          </cell>
          <cell r="M4">
            <v>56386002</v>
          </cell>
          <cell r="N4">
            <v>2971395.5</v>
          </cell>
        </row>
        <row r="5">
          <cell r="B5">
            <v>39203</v>
          </cell>
          <cell r="C5">
            <v>408253848</v>
          </cell>
          <cell r="E5">
            <v>408253848</v>
          </cell>
          <cell r="F5">
            <v>309261997</v>
          </cell>
          <cell r="G5">
            <v>149492000</v>
          </cell>
          <cell r="H5">
            <v>8000</v>
          </cell>
          <cell r="I5">
            <v>458745997</v>
          </cell>
          <cell r="J5">
            <v>213906839</v>
          </cell>
          <cell r="K5">
            <v>0</v>
          </cell>
          <cell r="L5">
            <v>212749175</v>
          </cell>
          <cell r="M5">
            <v>57543666</v>
          </cell>
          <cell r="N5">
            <v>1157664</v>
          </cell>
        </row>
        <row r="6">
          <cell r="B6">
            <v>39234</v>
          </cell>
          <cell r="C6">
            <v>396758784</v>
          </cell>
          <cell r="E6">
            <v>396758784</v>
          </cell>
          <cell r="F6">
            <v>293872603</v>
          </cell>
          <cell r="G6">
            <v>144776000</v>
          </cell>
          <cell r="H6">
            <v>44000</v>
          </cell>
          <cell r="I6">
            <v>438604603</v>
          </cell>
          <cell r="J6">
            <v>236038365</v>
          </cell>
          <cell r="L6">
            <v>231236566.99999997</v>
          </cell>
          <cell r="M6">
            <v>62345464</v>
          </cell>
          <cell r="N6">
            <v>4801798</v>
          </cell>
        </row>
        <row r="7">
          <cell r="B7">
            <v>39264</v>
          </cell>
          <cell r="C7">
            <v>390712344</v>
          </cell>
          <cell r="E7">
            <v>390712344</v>
          </cell>
          <cell r="F7">
            <v>295501054</v>
          </cell>
          <cell r="G7">
            <v>194580000</v>
          </cell>
          <cell r="H7">
            <v>0</v>
          </cell>
          <cell r="I7">
            <v>490081054</v>
          </cell>
          <cell r="J7">
            <v>214521653.5</v>
          </cell>
          <cell r="L7">
            <v>219036002.00000003</v>
          </cell>
          <cell r="M7">
            <v>57831115.5</v>
          </cell>
          <cell r="N7">
            <v>-4514348.5</v>
          </cell>
        </row>
        <row r="8">
          <cell r="B8">
            <v>39295</v>
          </cell>
          <cell r="C8">
            <v>379732416</v>
          </cell>
          <cell r="E8">
            <v>379732416</v>
          </cell>
          <cell r="F8">
            <v>281212696</v>
          </cell>
          <cell r="G8">
            <v>108264000</v>
          </cell>
          <cell r="I8">
            <v>389476696</v>
          </cell>
          <cell r="J8">
            <v>211770451.5</v>
          </cell>
          <cell r="L8">
            <v>214381450</v>
          </cell>
          <cell r="M8">
            <v>55220117</v>
          </cell>
          <cell r="N8">
            <v>-2610998.5</v>
          </cell>
        </row>
        <row r="9">
          <cell r="B9">
            <v>39326</v>
          </cell>
          <cell r="C9">
            <v>370776632</v>
          </cell>
          <cell r="E9">
            <v>370776632</v>
          </cell>
          <cell r="F9">
            <v>302975758</v>
          </cell>
          <cell r="G9">
            <v>108760000</v>
          </cell>
          <cell r="I9">
            <v>411735758</v>
          </cell>
          <cell r="J9">
            <v>205857769</v>
          </cell>
          <cell r="L9">
            <v>207645701</v>
          </cell>
          <cell r="M9">
            <v>53432185</v>
          </cell>
          <cell r="N9">
            <v>-1787932</v>
          </cell>
        </row>
        <row r="10">
          <cell r="B10">
            <v>39356</v>
          </cell>
          <cell r="H10">
            <v>0</v>
          </cell>
          <cell r="I10">
            <v>0</v>
          </cell>
          <cell r="J10">
            <v>-53432185</v>
          </cell>
          <cell r="N10">
            <v>-53432185</v>
          </cell>
        </row>
        <row r="11">
          <cell r="B11">
            <v>39387</v>
          </cell>
          <cell r="H11">
            <v>0</v>
          </cell>
          <cell r="I11">
            <v>0</v>
          </cell>
          <cell r="J11">
            <v>0</v>
          </cell>
          <cell r="N11">
            <v>0</v>
          </cell>
        </row>
        <row r="12">
          <cell r="B12">
            <v>39417</v>
          </cell>
          <cell r="H12">
            <v>0</v>
          </cell>
          <cell r="I12">
            <v>0</v>
          </cell>
          <cell r="J12">
            <v>0</v>
          </cell>
          <cell r="N12">
            <v>0</v>
          </cell>
        </row>
        <row r="13">
          <cell r="B13">
            <v>39448</v>
          </cell>
          <cell r="I13">
            <v>0</v>
          </cell>
          <cell r="J13">
            <v>0</v>
          </cell>
          <cell r="N13">
            <v>0</v>
          </cell>
        </row>
        <row r="14">
          <cell r="B14">
            <v>39479</v>
          </cell>
          <cell r="I14">
            <v>0</v>
          </cell>
          <cell r="J14">
            <v>0</v>
          </cell>
          <cell r="N14">
            <v>0</v>
          </cell>
        </row>
        <row r="15">
          <cell r="B15">
            <v>39508</v>
          </cell>
          <cell r="I15">
            <v>0</v>
          </cell>
          <cell r="J15">
            <v>0</v>
          </cell>
          <cell r="N15">
            <v>0</v>
          </cell>
        </row>
        <row r="16">
          <cell r="B16" t="str">
            <v>Total</v>
          </cell>
          <cell r="C16">
            <v>2336827712</v>
          </cell>
          <cell r="D16">
            <v>0</v>
          </cell>
          <cell r="E16">
            <v>2336827712</v>
          </cell>
          <cell r="F16">
            <v>1785950948</v>
          </cell>
          <cell r="G16">
            <v>842316000</v>
          </cell>
          <cell r="H16">
            <v>52000</v>
          </cell>
          <cell r="I16">
            <v>2628214948</v>
          </cell>
          <cell r="J16">
            <v>1240676111.5</v>
          </cell>
          <cell r="K16">
            <v>49688000</v>
          </cell>
          <cell r="L16">
            <v>1294090718</v>
          </cell>
        </row>
      </sheetData>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ny"/>
      <sheetName val="License Area"/>
      <sheetName val="LA-ARR-PU"/>
      <sheetName val="LA-PU"/>
      <sheetName val="LA-ARR"/>
      <sheetName val="LA-ARR-PU "/>
      <sheetName val="Co. Graphs"/>
      <sheetName val="OB Graph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설내1"/>
      <sheetName val="설품"/>
      <sheetName val="설산1"/>
      <sheetName val="설산2"/>
      <sheetName val="설산3"/>
      <sheetName val="설비SUPP산출"/>
      <sheetName val="현장지지물물량"/>
      <sheetName val="지지물집계"/>
      <sheetName val="현장집계3"/>
      <sheetName val="License Area"/>
      <sheetName val="FAC (Running FAC)"/>
      <sheetName val="P-LIST"/>
      <sheetName val="Balance Sheet "/>
      <sheetName val="계측"/>
      <sheetName val=" FURNACE현설"/>
      <sheetName val="Financial Estimates"/>
      <sheetName val="DJ1"/>
      <sheetName val="Mfg OH "/>
    </sheetNames>
    <sheetDataSet>
      <sheetData sheetId="0"/>
      <sheetData sheetId="1"/>
      <sheetData sheetId="2"/>
      <sheetData sheetId="3"/>
      <sheetData sheetId="4"/>
      <sheetData sheetId="5"/>
      <sheetData sheetId="6" refreshError="1">
        <row r="9">
          <cell r="A9" t="str">
            <v>85500-001</v>
          </cell>
          <cell r="C9" t="str">
            <v>CHANNEL</v>
          </cell>
          <cell r="D9" t="str">
            <v>C S</v>
          </cell>
          <cell r="E9" t="str">
            <v>ㄷ100x50x5</v>
          </cell>
          <cell r="F9">
            <v>6100</v>
          </cell>
          <cell r="G9" t="str">
            <v>71730-150</v>
          </cell>
          <cell r="H9">
            <v>1</v>
          </cell>
          <cell r="I9" t="str">
            <v>5900/2200</v>
          </cell>
        </row>
        <row r="10">
          <cell r="A10" t="str">
            <v>85500-001</v>
          </cell>
          <cell r="C10" t="str">
            <v>ANGLE</v>
          </cell>
          <cell r="D10" t="str">
            <v>C S</v>
          </cell>
          <cell r="E10" t="str">
            <v>L50X50X6</v>
          </cell>
          <cell r="F10">
            <v>1800</v>
          </cell>
          <cell r="G10" t="str">
            <v>71730-150</v>
          </cell>
          <cell r="H10">
            <v>1</v>
          </cell>
          <cell r="I10" t="str">
            <v>5900/2200</v>
          </cell>
        </row>
        <row r="11">
          <cell r="A11" t="str">
            <v>85500-001</v>
          </cell>
          <cell r="C11" t="str">
            <v>U-BOLT</v>
          </cell>
          <cell r="D11" t="str">
            <v>C S</v>
          </cell>
          <cell r="E11" t="str">
            <v>DN150</v>
          </cell>
          <cell r="G11" t="str">
            <v>71730-150</v>
          </cell>
          <cell r="H11">
            <v>6</v>
          </cell>
          <cell r="I11" t="str">
            <v>5900/2200</v>
          </cell>
        </row>
        <row r="12">
          <cell r="A12" t="str">
            <v>85500-001</v>
          </cell>
          <cell r="C12" t="str">
            <v>ANCHOR BOLT</v>
          </cell>
          <cell r="D12" t="str">
            <v>C S</v>
          </cell>
          <cell r="E12" t="str">
            <v>M10x80L</v>
          </cell>
          <cell r="G12" t="str">
            <v>71730-150</v>
          </cell>
          <cell r="H12">
            <v>12</v>
          </cell>
          <cell r="I12" t="str">
            <v>5900/2200</v>
          </cell>
        </row>
        <row r="13">
          <cell r="A13" t="str">
            <v>85500-001</v>
          </cell>
          <cell r="C13" t="str">
            <v>STEEL PLATE</v>
          </cell>
          <cell r="D13" t="str">
            <v>C S</v>
          </cell>
          <cell r="E13" t="str">
            <v>PL150x150x9</v>
          </cell>
          <cell r="G13" t="str">
            <v>71730-150</v>
          </cell>
          <cell r="H13">
            <v>3</v>
          </cell>
          <cell r="I13" t="str">
            <v>5900/2200</v>
          </cell>
        </row>
        <row r="15">
          <cell r="A15" t="str">
            <v>85500-001</v>
          </cell>
          <cell r="C15" t="str">
            <v>CHANNEL</v>
          </cell>
          <cell r="D15" t="str">
            <v>C S</v>
          </cell>
          <cell r="E15" t="str">
            <v>ㄷ100x50x5</v>
          </cell>
          <cell r="F15">
            <v>2150</v>
          </cell>
          <cell r="G15" t="str">
            <v>71730-150</v>
          </cell>
          <cell r="H15">
            <v>5</v>
          </cell>
          <cell r="I15" t="str">
            <v>3150/2200</v>
          </cell>
        </row>
        <row r="16">
          <cell r="A16" t="str">
            <v>85500-001</v>
          </cell>
          <cell r="C16" t="str">
            <v>U-BOLT</v>
          </cell>
          <cell r="D16" t="str">
            <v>C S</v>
          </cell>
          <cell r="E16" t="str">
            <v>DN150</v>
          </cell>
          <cell r="G16" t="str">
            <v>71730-150</v>
          </cell>
          <cell r="H16">
            <v>10</v>
          </cell>
          <cell r="I16" t="str">
            <v>3150/2200</v>
          </cell>
        </row>
        <row r="17">
          <cell r="A17" t="str">
            <v>85500-001</v>
          </cell>
          <cell r="C17" t="str">
            <v>ANCHOR BOLT</v>
          </cell>
          <cell r="D17" t="str">
            <v>C S</v>
          </cell>
          <cell r="E17" t="str">
            <v>M10x80L</v>
          </cell>
          <cell r="G17" t="str">
            <v>71730-150</v>
          </cell>
          <cell r="H17">
            <v>40</v>
          </cell>
          <cell r="I17" t="str">
            <v>3150/2200</v>
          </cell>
        </row>
        <row r="18">
          <cell r="A18" t="str">
            <v>85500-001</v>
          </cell>
          <cell r="C18" t="str">
            <v>STEEL PLATE</v>
          </cell>
          <cell r="D18" t="str">
            <v>C S</v>
          </cell>
          <cell r="E18" t="str">
            <v>PL150x150x9</v>
          </cell>
          <cell r="G18" t="str">
            <v>71730-150</v>
          </cell>
          <cell r="H18">
            <v>10</v>
          </cell>
          <cell r="I18" t="str">
            <v>3150/2200</v>
          </cell>
        </row>
        <row r="20">
          <cell r="A20" t="str">
            <v>85500-001</v>
          </cell>
          <cell r="C20" t="str">
            <v>CHANNEL</v>
          </cell>
          <cell r="D20" t="str">
            <v>C S</v>
          </cell>
          <cell r="E20" t="str">
            <v>ㄷ100x50x5</v>
          </cell>
          <cell r="F20">
            <v>1900</v>
          </cell>
          <cell r="G20" t="str">
            <v>71730-150</v>
          </cell>
          <cell r="H20">
            <v>3</v>
          </cell>
          <cell r="I20" t="str">
            <v>3150/2200</v>
          </cell>
        </row>
        <row r="21">
          <cell r="A21" t="str">
            <v>85500-001</v>
          </cell>
          <cell r="C21" t="str">
            <v>U-BOLT</v>
          </cell>
          <cell r="D21" t="str">
            <v>C S</v>
          </cell>
          <cell r="E21" t="str">
            <v>DN150</v>
          </cell>
          <cell r="G21" t="str">
            <v>71730-150</v>
          </cell>
          <cell r="H21">
            <v>6</v>
          </cell>
          <cell r="I21" t="str">
            <v>3150/2200</v>
          </cell>
        </row>
        <row r="22">
          <cell r="A22" t="str">
            <v>85500-001</v>
          </cell>
          <cell r="C22" t="str">
            <v>ANCHOR BOLT</v>
          </cell>
          <cell r="D22" t="str">
            <v>C S</v>
          </cell>
          <cell r="E22" t="str">
            <v>M10x80L</v>
          </cell>
          <cell r="G22" t="str">
            <v>71730-150</v>
          </cell>
          <cell r="H22">
            <v>12</v>
          </cell>
          <cell r="I22" t="str">
            <v>3150/2200</v>
          </cell>
        </row>
        <row r="23">
          <cell r="A23" t="str">
            <v>85500-001</v>
          </cell>
          <cell r="C23" t="str">
            <v>STEEL PLATE</v>
          </cell>
          <cell r="D23" t="str">
            <v>C S</v>
          </cell>
          <cell r="E23" t="str">
            <v>PL150x150x9</v>
          </cell>
          <cell r="G23" t="str">
            <v>71730-150</v>
          </cell>
          <cell r="H23">
            <v>3</v>
          </cell>
          <cell r="I23" t="str">
            <v>3150/2200</v>
          </cell>
        </row>
      </sheetData>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
      <sheetName val="Schedule 1"/>
      <sheetName val="BEST final"/>
      <sheetName val="BEST"/>
      <sheetName val="Sheet1"/>
      <sheetName val="P&amp;L Reconciliation"/>
      <sheetName val=" Bank"/>
      <sheetName val="Notes"/>
      <sheetName val="Stores"/>
      <sheetName val="schedule 3"/>
    </sheetNames>
    <sheetDataSet>
      <sheetData sheetId="0" refreshError="1"/>
      <sheetData sheetId="1">
        <row r="28">
          <cell r="D28">
            <v>392.07000000000005</v>
          </cell>
        </row>
      </sheetData>
      <sheetData sheetId="2">
        <row r="409">
          <cell r="D409">
            <v>0</v>
          </cell>
        </row>
      </sheetData>
      <sheetData sheetId="3" refreshError="1"/>
      <sheetData sheetId="4"/>
      <sheetData sheetId="5">
        <row r="38">
          <cell r="D38">
            <v>573622213.00999928</v>
          </cell>
        </row>
      </sheetData>
      <sheetData sheetId="6" refreshError="1"/>
      <sheetData sheetId="7" refreshError="1"/>
      <sheetData sheetId="8" refreshError="1"/>
      <sheetData sheetId="9">
        <row r="28">
          <cell r="D28">
            <v>392.07000000000005</v>
          </cell>
        </row>
      </sheetData>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LY -99-00"/>
      <sheetName val="Hydro Data"/>
      <sheetName val="HLY0001"/>
      <sheetName val="SUMMERY"/>
      <sheetName val="mnthly-chrt"/>
      <sheetName val="purchase"/>
      <sheetName val="dpc cost"/>
      <sheetName val="Plant Availability"/>
      <sheetName val="MOD-PROJ"/>
      <sheetName val="Apr-99"/>
      <sheetName val="May-99"/>
      <sheetName val="Jun-99"/>
      <sheetName val="July-99"/>
      <sheetName val="Aug-99"/>
      <sheetName val="Sept-99"/>
      <sheetName val="Oct-99"/>
      <sheetName val="Nov-99"/>
      <sheetName val="Dec-99"/>
      <sheetName val="Jan-00"/>
      <sheetName val="Feb-00"/>
      <sheetName val="Mar-00"/>
    </sheetNames>
    <sheetDataSet>
      <sheetData sheetId="0" refreshError="1"/>
      <sheetData sheetId="1" refreshError="1"/>
      <sheetData sheetId="2" refreshError="1"/>
      <sheetData sheetId="3" refreshError="1">
        <row r="1">
          <cell r="P1">
            <v>0.72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persons/person.xml><?xml version="1.0" encoding="utf-8"?>
<personList xmlns="http://schemas.microsoft.com/office/spreadsheetml/2018/threadedcomments" xmlns:x="http://schemas.openxmlformats.org/spreadsheetml/2006/main">
  <person displayName="ABPS" id="{FB0E4383-2594-4AB4-AD6E-9AA2E60D3134}" userId="ABPS" providerId="None"/>
  <person displayName="V16501" id="{3D3457D5-78DF-4AB8-9B98-7F5F24CAEA22}" userId="V16501"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6" dT="2021-10-14T07:33:12.26" personId="{FB0E4383-2594-4AB4-AD6E-9AA2E60D3134}" id="{33DC56EA-3234-46A4-8DCA-CD325A0A8441}">
    <text>Trued up closing CWIP from last year Tariff Order, Page no. 48</text>
  </threadedComment>
  <threadedComment ref="I8" dT="2021-11-21T06:49:20.13" personId="{FB0E4383-2594-4AB4-AD6E-9AA2E60D3134}" id="{D4F8FCF3-CA90-4EAD-92CB-EF109FDC6CDD}">
    <text>To be linked with sheet after finalisation of sheet</text>
  </threadedComment>
  <threadedComment ref="I10" dT="2021-11-21T06:49:51.37" personId="{FB0E4383-2594-4AB4-AD6E-9AA2E60D3134}" id="{D01BBE06-426D-4087-AF41-B32E56B341C4}">
    <text>To be linked with sheet after finalisation of sheet.</text>
  </threadedComment>
</ThreadedComments>
</file>

<file path=xl/threadedComments/threadedComment10.xml><?xml version="1.0" encoding="utf-8"?>
<ThreadedComments xmlns="http://schemas.microsoft.com/office/spreadsheetml/2018/threadedcomments" xmlns:x="http://schemas.openxmlformats.org/spreadsheetml/2006/main">
  <threadedComment ref="G6" dT="2021-12-11T03:31:52.09" personId="{FB0E4383-2594-4AB4-AD6E-9AA2E60D3134}" id="{DEC6EC24-DF29-4922-8AC0-D08EFCD1817E}">
    <text>In no of Hour is zero then percentage should also be zero</text>
  </threadedComment>
</ThreadedComments>
</file>

<file path=xl/threadedComments/threadedComment2.xml><?xml version="1.0" encoding="utf-8"?>
<ThreadedComments xmlns="http://schemas.microsoft.com/office/spreadsheetml/2018/threadedcomments" xmlns:x="http://schemas.openxmlformats.org/spreadsheetml/2006/main">
  <threadedComment ref="D7" dT="2021-10-14T01:51:57.61" personId="{FB0E4383-2594-4AB4-AD6E-9AA2E60D3134}" id="{26BA8A71-C139-4CE6-8C97-A182270FEEB8}">
    <text>Considered trued up closing GFA of FY 2019-20 from Tariff Order dated 19.03.2021</text>
  </threadedComment>
  <threadedComment ref="E12" dT="2021-11-21T06:56:01.50" personId="{FB0E4383-2594-4AB4-AD6E-9AA2E60D3134}" id="{FB5C2C06-CE51-4722-A420-839363606264}">
    <text>Including IDC</text>
  </threadedComment>
  <threadedComment ref="H12" dT="2021-10-14T06:56:22.72" personId="{FB0E4383-2594-4AB4-AD6E-9AA2E60D3134}" id="{A6EADA87-3EED-49A1-9E48-C205F42194AE}">
    <text>value to be updated from F5-8 sheet</text>
  </threadedComment>
</ThreadedComments>
</file>

<file path=xl/threadedComments/threadedComment3.xml><?xml version="1.0" encoding="utf-8"?>
<ThreadedComments xmlns="http://schemas.microsoft.com/office/spreadsheetml/2018/threadedcomments" xmlns:x="http://schemas.openxmlformats.org/spreadsheetml/2006/main">
  <threadedComment ref="D23" dT="2021-11-18T02:43:47.15" personId="{FB0E4383-2594-4AB4-AD6E-9AA2E60D3134}" id="{0E4228F5-9FF5-4875-8295-202A69014D6A}">
    <text>To be confirm from account</text>
  </threadedComment>
  <threadedComment ref="F36" dT="2021-11-22T10:57:48.59" personId="{FB0E4383-2594-4AB4-AD6E-9AA2E60D3134}" id="{1A210129-C967-4E00-8EAF-4ACEE1525C66}">
    <text>As of now considered as ratio of previous year. May change as per actual of H1...if provided by finance.</text>
  </threadedComment>
  <threadedComment ref="H36" dT="2019-11-02T11:27:28.68" personId="{3D3457D5-78DF-4AB8-9B98-7F5F24CAEA22}" id="{121CF1E6-316C-4605-A35E-AACC6F766E5A}">
    <text>Considered in proportion to approved land cost for 20-21</text>
  </threadedComment>
  <threadedComment ref="G47" dT="2019-11-02T11:14:02.62" personId="{3D3457D5-78DF-4AB8-9B98-7F5F24CAEA22}" id="{D7353A56-4418-4044-A771-F72F82432D21}">
    <text>Considered from MYT Order Pg. 122</text>
  </threadedComment>
  <threadedComment ref="D48" dT="2021-11-18T03:09:32.70" personId="{FB0E4383-2594-4AB4-AD6E-9AA2E60D3134}" id="{9DF38077-DEAF-4605-8F83-D7FCADDFE1A0}">
    <text>Closing value of Grant Approved in True up of 1920, page no. 55</text>
  </threadedComment>
  <threadedComment ref="D49" dT="2021-11-18T03:12:44.02" personId="{FB0E4383-2594-4AB4-AD6E-9AA2E60D3134}" id="{1B629343-EBB7-4358-B0ED-42B956A31471}">
    <text>To be confirm as no capitalisation under psdf scheme.</text>
  </threadedComment>
  <threadedComment ref="D50" dT="2021-11-18T06:15:57.47" personId="{FB0E4383-2594-4AB4-AD6E-9AA2E60D3134}" id="{34CCB55C-2627-4B39-95C7-1AC3C7A3BBD9}">
    <text>to be linkrd with capex file</text>
  </threadedComment>
  <threadedComment ref="F56" dT="2019-11-02T11:08:25.43" personId="{3D3457D5-78DF-4AB8-9B98-7F5F24CAEA22}" id="{150856DE-8F98-4C71-82B5-50F02A8A5806}">
    <text>Considered same as above</text>
  </threadedComment>
  <threadedComment ref="H56" dT="2019-11-02T11:08:25.43" personId="{3D3457D5-78DF-4AB8-9B98-7F5F24CAEA22}" id="{150856DE-8F98-4C72-82B5-50F02A8A5806}">
    <text>Considered same as above</text>
  </threadedComment>
</ThreadedComments>
</file>

<file path=xl/threadedComments/threadedComment4.xml><?xml version="1.0" encoding="utf-8"?>
<ThreadedComments xmlns="http://schemas.microsoft.com/office/spreadsheetml/2018/threadedcomments" xmlns:x="http://schemas.openxmlformats.org/spreadsheetml/2006/main">
  <threadedComment ref="D6" dT="2021-10-23T02:59:16.51" personId="{FB0E4383-2594-4AB4-AD6E-9AA2E60D3134}" id="{DDE393E7-34F7-44E0-BD34-42D789829A7F}">
    <text>Consider from closing loan of FY 2019-20 approved by the Commission in true up order page no. 58</text>
  </threadedComment>
  <threadedComment ref="C7" dT="2021-10-23T02:49:53.49" personId="{FB0E4383-2594-4AB4-AD6E-9AA2E60D3134}" id="{E7DC1601-EA5D-4358-A558-B3FB8D77092C}">
    <text>To be check</text>
  </threadedComment>
  <threadedComment ref="D7" dT="2021-10-23T03:09:08.34" personId="{FB0E4383-2594-4AB4-AD6E-9AA2E60D3134}" id="{65557451-E5FE-4CB8-AF77-408901D5B12E}">
    <text>Linkage of capitalization and details to be checked properly as different year cell is linked with different cell.</text>
  </threadedComment>
  <threadedComment ref="C10" dT="2021-10-23T02:50:43.68" personId="{FB0E4383-2594-4AB4-AD6E-9AA2E60D3134}" id="{A69EB4A5-067A-45E8-9745-6B6522E20A33}">
    <text>To be check why addition of 0.3 cr last year</text>
  </threadedComment>
  <threadedComment ref="E11" dT="2021-10-23T03:18:49.50" personId="{FB0E4383-2594-4AB4-AD6E-9AA2E60D3134}" id="{5823E23E-5472-4989-86BC-63B8ABFC4F1D}">
    <text>From MYT Order page no. 135</text>
  </threadedComment>
  <threadedComment ref="C14" dT="2021-10-23T03:16:29.97" personId="{FB0E4383-2594-4AB4-AD6E-9AA2E60D3134}" id="{6DBD3E5C-F5AD-4577-B2F3-69DED03E9216}">
    <text>As per MYT Order closing loan is 4794.07 Crore</text>
  </threadedComment>
  <threadedComment ref="E14" dT="2021-10-23T03:20:03.19" personId="{FB0E4383-2594-4AB4-AD6E-9AA2E60D3134}" id="{EB5FD781-B40D-4C60-B24A-8BFE78E19BC1}">
    <text>As per MYT Order 5776.50 Crore</text>
  </threadedComment>
  <threadedComment ref="C15" dT="2021-10-23T03:17:25.38" personId="{FB0E4383-2594-4AB4-AD6E-9AA2E60D3134}" id="{684F611A-3018-46A6-8FBD-7120FF1A050B}">
    <text>As per MYT 4198.57 Crore</text>
  </threadedComment>
  <threadedComment ref="E15" dT="2021-10-23T03:20:28.95" personId="{FB0E4383-2594-4AB4-AD6E-9AA2E60D3134}" id="{C73089FB-DAFC-4623-A12A-968A69F6A598}">
    <text>As per MYT Order 5285.28 Crore</text>
  </threadedComment>
  <threadedComment ref="C17" dT="2021-10-23T03:17:49.28" personId="{FB0E4383-2594-4AB4-AD6E-9AA2E60D3134}" id="{66C4C8A0-6CEB-48E2-8815-0545AD3E3189}">
    <text>As per MYT 440.85 Crore</text>
  </threadedComment>
  <threadedComment ref="E17" dT="2021-10-23T03:20:59.10" personId="{FB0E4383-2594-4AB4-AD6E-9AA2E60D3134}" id="{0ADCA1E3-D150-46EA-A37B-3EE5D7AD4F8C}">
    <text>As per MYT Order 554.95 Crore</text>
  </threadedComment>
  <threadedComment ref="H18" dT="2019-11-02T12:26:42.94" personId="{3D3457D5-78DF-4AB8-9B98-7F5F24CAEA22}" id="{34BAC914-74FD-4DE2-904E-7E4EC29A9E31}">
    <text>Considered same as per accounts of FY 2018-19</text>
  </threadedComment>
  <threadedComment ref="K18" dT="2019-11-02T12:30:47.20" personId="{3D3457D5-78DF-4AB8-9B98-7F5F24CAEA22}" id="{1C0FE782-960D-4237-8455-21874FBB1E5A}">
    <text>Considered same as per accounts of 18-19</text>
  </threadedComment>
</ThreadedComments>
</file>

<file path=xl/threadedComments/threadedComment5.xml><?xml version="1.0" encoding="utf-8"?>
<ThreadedComments xmlns="http://schemas.microsoft.com/office/spreadsheetml/2018/threadedcomments" xmlns:x="http://schemas.openxmlformats.org/spreadsheetml/2006/main">
  <threadedComment ref="E6" dT="2021-11-20T05:42:00.46" personId="{FB0E4383-2594-4AB4-AD6E-9AA2E60D3134}" id="{EB507CA7-9B4D-4510-8E42-89BFB5E535B0}">
    <text>Current year MCLR or year in which loan issued</text>
  </threadedComment>
</ThreadedComments>
</file>

<file path=xl/threadedComments/threadedComment6.xml><?xml version="1.0" encoding="utf-8"?>
<ThreadedComments xmlns="http://schemas.microsoft.com/office/spreadsheetml/2018/threadedcomments" xmlns:x="http://schemas.openxmlformats.org/spreadsheetml/2006/main">
  <threadedComment ref="D29" dT="2019-11-02T12:53:01.26" personId="{3D3457D5-78DF-4AB8-9B98-7F5F24CAEA22}" id="{3145D17E-E2B4-4D6D-AA2B-BEE2D5E0CA5B}">
    <text>Considered from closing balance of FY 2018-19 True up Order</text>
  </threadedComment>
  <threadedComment ref="C35" dT="2021-10-23T04:14:53.11" personId="{FB0E4383-2594-4AB4-AD6E-9AA2E60D3134}" id="{844A1367-C737-4283-90F0-D0348C4D4FDB}">
    <text>Decimal difference is due to computation as Approved in MYT is 353.81</text>
  </threadedComment>
</ThreadedComments>
</file>

<file path=xl/threadedComments/threadedComment7.xml><?xml version="1.0" encoding="utf-8"?>
<ThreadedComments xmlns="http://schemas.microsoft.com/office/spreadsheetml/2018/threadedcomments" xmlns:x="http://schemas.openxmlformats.org/spreadsheetml/2006/main">
  <threadedComment ref="D9" dT="2021-11-20T08:10:10.60" personId="{FB0E4383-2594-4AB4-AD6E-9AA2E60D3134}" id="{D4119136-DFFA-4A1E-B314-CE01B9CBBBDE}">
    <text>Holding charges is included in A&amp;G expenses</text>
  </threadedComment>
</ThreadedComments>
</file>

<file path=xl/threadedComments/threadedComment8.xml><?xml version="1.0" encoding="utf-8"?>
<ThreadedComments xmlns="http://schemas.microsoft.com/office/spreadsheetml/2018/threadedcomments" xmlns:x="http://schemas.openxmlformats.org/spreadsheetml/2006/main">
  <threadedComment ref="E23" dT="2021-11-18T15:21:49.35" personId="{FB0E4383-2594-4AB4-AD6E-9AA2E60D3134}" id="{29123DAE-4320-4685-93CD-598B63E3FD24}">
    <text>To be linked with Format</text>
  </threadedComment>
</ThreadedComments>
</file>

<file path=xl/threadedComments/threadedComment9.xml><?xml version="1.0" encoding="utf-8"?>
<ThreadedComments xmlns="http://schemas.microsoft.com/office/spreadsheetml/2018/threadedcomments" xmlns:x="http://schemas.openxmlformats.org/spreadsheetml/2006/main">
  <threadedComment ref="K11" dT="2019-11-02T21:37:39.71" personId="{3D3457D5-78DF-4AB8-9B98-7F5F24CAEA22}" id="{4FFE7A21-72FF-4FE2-B9D8-2FD04E986FE9}">
    <text>SBI MCLR rate 8.55% as on 1.04.2019 plus 150 basis points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 Id="rId4" Type="http://schemas.microsoft.com/office/2017/10/relationships/threadedComment" Target="../threadedComments/threadedComment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 Id="rId4" Type="http://schemas.microsoft.com/office/2017/10/relationships/threadedComment" Target="../threadedComments/threadedComment2.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2.bin"/><Relationship Id="rId4" Type="http://schemas.microsoft.com/office/2017/10/relationships/threadedComment" Target="../threadedComments/threadedComment3.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 Id="rId4" Type="http://schemas.microsoft.com/office/2017/10/relationships/threadedComment" Target="../threadedComments/threadedComment4.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 Id="rId4" Type="http://schemas.microsoft.com/office/2017/10/relationships/threadedComment" Target="../threadedComments/threadedComment5.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 Id="rId4" Type="http://schemas.microsoft.com/office/2017/10/relationships/threadedComment" Target="../threadedComments/threadedComment6.x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4.bin"/><Relationship Id="rId4" Type="http://schemas.microsoft.com/office/2017/10/relationships/threadedComment" Target="../threadedComments/threadedComment7.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 Id="rId4" Type="http://schemas.microsoft.com/office/2017/10/relationships/threadedComment" Target="../threadedComments/threadedComment8.x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 Id="rId4" Type="http://schemas.microsoft.com/office/2017/10/relationships/threadedComment" Target="../threadedComments/threadedComment9.xml"/></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 Id="rId4" Type="http://schemas.microsoft.com/office/2017/10/relationships/threadedComment" Target="../threadedComments/threadedComment10.xml"/></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4"/>
  <sheetViews>
    <sheetView workbookViewId="0">
      <selection activeCell="F1" sqref="F1:K1048576"/>
    </sheetView>
  </sheetViews>
  <sheetFormatPr defaultColWidth="9.140625" defaultRowHeight="15"/>
  <cols>
    <col min="1" max="1" width="9.140625" style="6"/>
    <col min="2" max="2" width="10.42578125" style="6" customWidth="1"/>
    <col min="3" max="3" width="7.85546875" style="6" customWidth="1"/>
    <col min="4" max="4" width="16" style="6" customWidth="1"/>
    <col min="5" max="5" width="54" style="6" customWidth="1"/>
    <col min="6" max="6" width="10.85546875" style="6" bestFit="1" customWidth="1"/>
    <col min="7" max="16384" width="9.140625" style="6"/>
  </cols>
  <sheetData>
    <row r="1" spans="1:10">
      <c r="A1" s="1715"/>
      <c r="B1" s="1715"/>
      <c r="C1" s="1715"/>
      <c r="D1" s="1715"/>
      <c r="E1" s="1715"/>
    </row>
    <row r="2" spans="1:10">
      <c r="A2" s="1717" t="s">
        <v>0</v>
      </c>
      <c r="B2" s="1717"/>
      <c r="C2" s="1717"/>
      <c r="D2" s="40"/>
      <c r="E2" s="14"/>
    </row>
    <row r="3" spans="1:10">
      <c r="A3" s="1717" t="s">
        <v>1</v>
      </c>
      <c r="B3" s="1717"/>
      <c r="C3" s="1717"/>
      <c r="D3" s="40"/>
      <c r="E3" s="14"/>
    </row>
    <row r="4" spans="1:10">
      <c r="A4" s="1717" t="s">
        <v>2</v>
      </c>
      <c r="B4" s="1717"/>
      <c r="C4" s="1717"/>
      <c r="D4" s="40"/>
      <c r="E4" s="14"/>
    </row>
    <row r="5" spans="1:10">
      <c r="A5" s="1718"/>
      <c r="B5" s="1718"/>
      <c r="C5" s="1718"/>
      <c r="D5" s="1718"/>
      <c r="E5" s="1718"/>
    </row>
    <row r="6" spans="1:10">
      <c r="A6" s="1716" t="s">
        <v>3</v>
      </c>
      <c r="B6" s="1716"/>
      <c r="C6" s="1716"/>
      <c r="D6" s="1716"/>
      <c r="E6" s="1716"/>
    </row>
    <row r="7" spans="1:10" ht="15.75" thickBot="1">
      <c r="A7" s="1714"/>
      <c r="B7" s="1714"/>
      <c r="C7" s="1714"/>
      <c r="D7" s="1714"/>
      <c r="E7" s="1714"/>
    </row>
    <row r="8" spans="1:10">
      <c r="A8" s="15" t="s">
        <v>44</v>
      </c>
      <c r="B8" s="16" t="s">
        <v>45</v>
      </c>
      <c r="C8" s="16" t="s">
        <v>46</v>
      </c>
      <c r="D8" s="17" t="s">
        <v>43</v>
      </c>
      <c r="E8" s="18" t="s">
        <v>4</v>
      </c>
    </row>
    <row r="9" spans="1:10">
      <c r="A9" s="19"/>
      <c r="B9" s="20"/>
      <c r="C9" s="20"/>
      <c r="D9" s="21"/>
      <c r="E9" s="22"/>
    </row>
    <row r="10" spans="1:10" ht="30">
      <c r="A10" s="8">
        <v>1</v>
      </c>
      <c r="B10" s="9" t="s">
        <v>5</v>
      </c>
      <c r="C10" s="9" t="s">
        <v>95</v>
      </c>
      <c r="D10" s="23" t="s">
        <v>319</v>
      </c>
      <c r="E10" s="24" t="s">
        <v>6</v>
      </c>
      <c r="G10" s="2"/>
      <c r="H10" s="7"/>
      <c r="I10" s="4"/>
      <c r="J10" s="2"/>
    </row>
    <row r="11" spans="1:10" ht="30">
      <c r="A11" s="8">
        <v>2</v>
      </c>
      <c r="B11" s="9" t="s">
        <v>5</v>
      </c>
      <c r="C11" s="9" t="s">
        <v>96</v>
      </c>
      <c r="D11" s="10">
        <v>16.5</v>
      </c>
      <c r="E11" s="24" t="s">
        <v>78</v>
      </c>
      <c r="G11" s="2"/>
      <c r="H11" s="7"/>
      <c r="I11" s="2"/>
      <c r="J11" s="2"/>
    </row>
    <row r="12" spans="1:10" ht="30">
      <c r="A12" s="8">
        <v>3</v>
      </c>
      <c r="B12" s="9" t="s">
        <v>5</v>
      </c>
      <c r="C12" s="9" t="s">
        <v>97</v>
      </c>
      <c r="D12" s="10" t="s">
        <v>125</v>
      </c>
      <c r="E12" s="24" t="s">
        <v>79</v>
      </c>
      <c r="G12" s="2"/>
      <c r="H12" s="7"/>
      <c r="I12" s="2"/>
      <c r="J12" s="2"/>
    </row>
    <row r="13" spans="1:10">
      <c r="A13" s="8">
        <v>5</v>
      </c>
      <c r="B13" s="9" t="s">
        <v>5</v>
      </c>
      <c r="C13" s="9" t="s">
        <v>99</v>
      </c>
      <c r="D13" s="10" t="s">
        <v>126</v>
      </c>
      <c r="E13" s="11" t="s">
        <v>7</v>
      </c>
      <c r="G13" s="2"/>
      <c r="H13" s="2"/>
      <c r="I13" s="2"/>
      <c r="J13" s="7"/>
    </row>
    <row r="14" spans="1:10">
      <c r="A14" s="8">
        <v>6</v>
      </c>
      <c r="B14" s="9"/>
      <c r="C14" s="9" t="s">
        <v>108</v>
      </c>
      <c r="D14" s="10"/>
      <c r="E14" s="25" t="s">
        <v>393</v>
      </c>
      <c r="G14" s="2"/>
      <c r="H14" s="2"/>
      <c r="I14" s="2"/>
      <c r="J14" s="7"/>
    </row>
    <row r="15" spans="1:10">
      <c r="A15" s="8">
        <v>7</v>
      </c>
      <c r="B15" s="9"/>
      <c r="C15" s="9" t="s">
        <v>392</v>
      </c>
      <c r="D15" s="10"/>
      <c r="E15" s="25" t="s">
        <v>394</v>
      </c>
      <c r="G15" s="2"/>
      <c r="H15" s="2"/>
      <c r="I15" s="2"/>
      <c r="J15" s="7"/>
    </row>
    <row r="16" spans="1:10">
      <c r="A16" s="8">
        <v>8</v>
      </c>
      <c r="B16" s="9" t="s">
        <v>5</v>
      </c>
      <c r="C16" s="9" t="s">
        <v>98</v>
      </c>
      <c r="D16" s="10" t="s">
        <v>127</v>
      </c>
      <c r="E16" s="11" t="s">
        <v>8</v>
      </c>
      <c r="G16" s="4"/>
      <c r="H16" s="2"/>
      <c r="I16" s="2"/>
      <c r="J16" s="7"/>
    </row>
    <row r="17" spans="1:10">
      <c r="A17" s="8">
        <v>9</v>
      </c>
      <c r="B17" s="9" t="s">
        <v>5</v>
      </c>
      <c r="C17" s="9" t="s">
        <v>109</v>
      </c>
      <c r="D17" s="10"/>
      <c r="E17" s="26" t="s">
        <v>10</v>
      </c>
      <c r="G17" s="4"/>
      <c r="H17" s="2"/>
      <c r="I17" s="2"/>
      <c r="J17" s="7"/>
    </row>
    <row r="18" spans="1:10">
      <c r="A18" s="8"/>
      <c r="B18" s="9"/>
      <c r="C18" s="9"/>
      <c r="D18" s="9"/>
      <c r="E18" s="27"/>
      <c r="G18" s="2"/>
      <c r="H18" s="2"/>
      <c r="I18" s="2"/>
      <c r="J18" s="2"/>
    </row>
    <row r="19" spans="1:10">
      <c r="A19" s="8"/>
      <c r="B19" s="9"/>
      <c r="C19" s="9"/>
      <c r="D19" s="9"/>
      <c r="E19" s="2"/>
      <c r="G19" s="2"/>
      <c r="H19" s="2"/>
      <c r="I19" s="2"/>
      <c r="J19" s="2"/>
    </row>
    <row r="20" spans="1:10">
      <c r="A20" s="8"/>
      <c r="B20" s="9"/>
      <c r="C20" s="9"/>
      <c r="D20" s="9"/>
      <c r="E20" s="2"/>
      <c r="G20" s="2"/>
      <c r="H20" s="2"/>
      <c r="I20" s="2"/>
      <c r="J20" s="2"/>
    </row>
    <row r="21" spans="1:10">
      <c r="A21" s="8">
        <v>10</v>
      </c>
      <c r="B21" s="9" t="s">
        <v>5</v>
      </c>
      <c r="C21" s="9" t="s">
        <v>103</v>
      </c>
      <c r="D21" s="10" t="s">
        <v>128</v>
      </c>
      <c r="E21" s="28" t="s">
        <v>11</v>
      </c>
      <c r="G21" s="4"/>
      <c r="H21" s="2"/>
      <c r="I21" s="2"/>
      <c r="J21" s="7"/>
    </row>
    <row r="22" spans="1:10">
      <c r="A22" s="8">
        <v>11</v>
      </c>
      <c r="B22" s="9" t="s">
        <v>5</v>
      </c>
      <c r="C22" s="9" t="s">
        <v>104</v>
      </c>
      <c r="D22" s="10"/>
      <c r="E22" s="28" t="s">
        <v>81</v>
      </c>
      <c r="G22" s="2"/>
      <c r="H22" s="2"/>
      <c r="I22" s="2"/>
      <c r="J22" s="2"/>
    </row>
    <row r="23" spans="1:10">
      <c r="A23" s="8">
        <v>12</v>
      </c>
      <c r="B23" s="9" t="s">
        <v>5</v>
      </c>
      <c r="C23" s="9" t="s">
        <v>105</v>
      </c>
      <c r="D23" s="10" t="s">
        <v>129</v>
      </c>
      <c r="E23" s="29" t="s">
        <v>9</v>
      </c>
      <c r="G23" s="2"/>
      <c r="H23" s="2"/>
      <c r="I23" s="2"/>
      <c r="J23" s="7"/>
    </row>
    <row r="24" spans="1:10" ht="30">
      <c r="A24" s="8">
        <v>13</v>
      </c>
      <c r="B24" s="9" t="s">
        <v>5</v>
      </c>
      <c r="C24" s="9" t="s">
        <v>110</v>
      </c>
      <c r="D24" s="10" t="s">
        <v>130</v>
      </c>
      <c r="E24" s="28" t="s">
        <v>30</v>
      </c>
      <c r="G24" s="2"/>
      <c r="H24" s="2"/>
      <c r="I24" s="2"/>
      <c r="J24" s="7"/>
    </row>
    <row r="25" spans="1:10" ht="30">
      <c r="A25" s="8">
        <v>14</v>
      </c>
      <c r="B25" s="9" t="s">
        <v>5</v>
      </c>
      <c r="C25" s="9" t="s">
        <v>111</v>
      </c>
      <c r="D25" s="10">
        <v>18.3</v>
      </c>
      <c r="E25" s="28" t="s">
        <v>14</v>
      </c>
      <c r="G25" s="4"/>
      <c r="H25" s="2"/>
      <c r="I25" s="2"/>
      <c r="J25" s="7"/>
    </row>
    <row r="26" spans="1:10">
      <c r="A26" s="8">
        <v>15</v>
      </c>
      <c r="B26" s="9" t="s">
        <v>5</v>
      </c>
      <c r="C26" s="9" t="s">
        <v>112</v>
      </c>
      <c r="D26" s="10"/>
      <c r="E26" s="28" t="s">
        <v>15</v>
      </c>
      <c r="G26" s="4"/>
      <c r="H26" s="2"/>
      <c r="I26" s="2"/>
      <c r="J26" s="7"/>
    </row>
    <row r="27" spans="1:10">
      <c r="A27" s="8">
        <v>16</v>
      </c>
      <c r="B27" s="9" t="s">
        <v>5</v>
      </c>
      <c r="C27" s="9" t="s">
        <v>102</v>
      </c>
      <c r="D27" s="10"/>
      <c r="E27" s="28" t="s">
        <v>16</v>
      </c>
      <c r="G27" s="4"/>
      <c r="H27" s="2"/>
      <c r="I27" s="2"/>
      <c r="J27" s="7"/>
    </row>
    <row r="28" spans="1:10">
      <c r="A28" s="8">
        <v>17</v>
      </c>
      <c r="B28" s="9" t="s">
        <v>5</v>
      </c>
      <c r="C28" s="9" t="s">
        <v>101</v>
      </c>
      <c r="D28" s="10">
        <v>18</v>
      </c>
      <c r="E28" s="28" t="s">
        <v>21</v>
      </c>
      <c r="G28" s="4"/>
      <c r="H28" s="2"/>
      <c r="I28" s="2"/>
      <c r="J28" s="7"/>
    </row>
    <row r="29" spans="1:10">
      <c r="A29" s="8">
        <v>18</v>
      </c>
      <c r="B29" s="9" t="s">
        <v>5</v>
      </c>
      <c r="C29" s="9" t="s">
        <v>106</v>
      </c>
      <c r="D29" s="10">
        <v>17</v>
      </c>
      <c r="E29" s="28" t="s">
        <v>23</v>
      </c>
      <c r="G29" s="4"/>
      <c r="H29" s="2"/>
      <c r="I29" s="2"/>
      <c r="J29" s="7"/>
    </row>
    <row r="30" spans="1:10">
      <c r="A30" s="8">
        <v>19</v>
      </c>
      <c r="B30" s="9" t="s">
        <v>5</v>
      </c>
      <c r="C30" s="9" t="s">
        <v>100</v>
      </c>
      <c r="D30" s="10"/>
      <c r="E30" s="28" t="s">
        <v>24</v>
      </c>
      <c r="G30" s="7"/>
      <c r="H30" s="2"/>
      <c r="I30" s="2"/>
      <c r="J30" s="2"/>
    </row>
    <row r="31" spans="1:10">
      <c r="A31" s="8">
        <v>20</v>
      </c>
      <c r="B31" s="9" t="s">
        <v>5</v>
      </c>
      <c r="C31" s="9"/>
      <c r="D31" s="10"/>
      <c r="E31" s="28" t="s">
        <v>82</v>
      </c>
      <c r="G31" s="2"/>
      <c r="H31" s="2"/>
      <c r="I31" s="2"/>
      <c r="J31" s="2"/>
    </row>
    <row r="32" spans="1:10">
      <c r="A32" s="8">
        <v>21</v>
      </c>
      <c r="B32" s="9" t="s">
        <v>5</v>
      </c>
      <c r="C32" s="9"/>
      <c r="D32" s="10"/>
      <c r="E32" s="28" t="s">
        <v>80</v>
      </c>
      <c r="G32" s="7"/>
      <c r="H32" s="2"/>
      <c r="I32" s="2"/>
      <c r="J32" s="2"/>
    </row>
    <row r="33" spans="1:10">
      <c r="A33" s="8">
        <v>22</v>
      </c>
      <c r="B33" s="9" t="s">
        <v>5</v>
      </c>
      <c r="C33" s="9" t="s">
        <v>107</v>
      </c>
      <c r="D33" s="10"/>
      <c r="E33" s="28" t="s">
        <v>83</v>
      </c>
      <c r="G33" s="2"/>
      <c r="H33" s="2"/>
      <c r="I33" s="2"/>
      <c r="J33" s="2"/>
    </row>
    <row r="34" spans="1:10">
      <c r="A34" s="8"/>
      <c r="B34" s="9"/>
      <c r="C34" s="9"/>
      <c r="D34" s="10"/>
      <c r="E34" s="30"/>
      <c r="G34" s="2"/>
      <c r="H34" s="2"/>
      <c r="I34" s="2"/>
      <c r="J34" s="2"/>
    </row>
    <row r="35" spans="1:10">
      <c r="A35" s="8">
        <v>23</v>
      </c>
      <c r="B35" s="9" t="s">
        <v>5</v>
      </c>
      <c r="C35" s="9" t="s">
        <v>114</v>
      </c>
      <c r="D35" s="10" t="s">
        <v>131</v>
      </c>
      <c r="E35" s="31" t="s">
        <v>12</v>
      </c>
      <c r="G35" s="4"/>
      <c r="H35" s="2"/>
      <c r="I35" s="2"/>
      <c r="J35" s="1"/>
    </row>
    <row r="36" spans="1:10">
      <c r="A36" s="8">
        <v>24</v>
      </c>
      <c r="B36" s="9" t="s">
        <v>5</v>
      </c>
      <c r="C36" s="9" t="s">
        <v>113</v>
      </c>
      <c r="D36" s="10">
        <v>19</v>
      </c>
      <c r="E36" s="31" t="s">
        <v>13</v>
      </c>
      <c r="G36" s="4"/>
      <c r="H36" s="2"/>
      <c r="I36" s="2"/>
      <c r="J36" s="1"/>
    </row>
    <row r="37" spans="1:10" ht="14.25" customHeight="1">
      <c r="A37" s="8">
        <v>25</v>
      </c>
      <c r="B37" s="9" t="s">
        <v>5</v>
      </c>
      <c r="C37" s="9" t="s">
        <v>115</v>
      </c>
      <c r="D37" s="10">
        <v>17.100000000000001</v>
      </c>
      <c r="E37" s="31" t="s">
        <v>17</v>
      </c>
      <c r="G37" s="4"/>
      <c r="H37" s="2"/>
      <c r="I37" s="2"/>
      <c r="J37" s="1"/>
    </row>
    <row r="38" spans="1:10">
      <c r="A38" s="8">
        <v>26</v>
      </c>
      <c r="B38" s="9" t="s">
        <v>5</v>
      </c>
      <c r="C38" s="9" t="s">
        <v>116</v>
      </c>
      <c r="D38" s="10"/>
      <c r="E38" s="31" t="s">
        <v>18</v>
      </c>
      <c r="G38" s="4"/>
      <c r="H38" s="2"/>
      <c r="I38" s="2"/>
      <c r="J38" s="1"/>
    </row>
    <row r="39" spans="1:10">
      <c r="A39" s="8">
        <v>27</v>
      </c>
      <c r="B39" s="9" t="s">
        <v>5</v>
      </c>
      <c r="C39" s="9"/>
      <c r="D39" s="10">
        <v>23</v>
      </c>
      <c r="E39" s="31" t="s">
        <v>19</v>
      </c>
      <c r="G39" s="4"/>
      <c r="H39" s="2"/>
      <c r="I39" s="2"/>
      <c r="J39" s="1"/>
    </row>
    <row r="40" spans="1:10">
      <c r="A40" s="8">
        <v>28</v>
      </c>
      <c r="B40" s="9"/>
      <c r="C40" s="10" t="s">
        <v>117</v>
      </c>
      <c r="D40" s="2"/>
      <c r="E40" s="31" t="s">
        <v>395</v>
      </c>
      <c r="G40" s="4"/>
      <c r="H40" s="2"/>
      <c r="I40" s="2"/>
      <c r="J40" s="1"/>
    </row>
    <row r="41" spans="1:10" ht="25.5" customHeight="1">
      <c r="A41" s="8">
        <v>29</v>
      </c>
      <c r="B41" s="9" t="s">
        <v>5</v>
      </c>
      <c r="C41" s="10" t="s">
        <v>118</v>
      </c>
      <c r="D41" s="2"/>
      <c r="E41" s="31" t="s">
        <v>20</v>
      </c>
      <c r="G41" s="2"/>
      <c r="H41" s="2"/>
      <c r="I41" s="2"/>
      <c r="J41" s="1"/>
    </row>
    <row r="42" spans="1:10">
      <c r="A42" s="8">
        <v>30</v>
      </c>
      <c r="B42" s="9" t="s">
        <v>5</v>
      </c>
      <c r="C42" s="10" t="s">
        <v>119</v>
      </c>
      <c r="D42" s="2"/>
      <c r="E42" s="31" t="s">
        <v>22</v>
      </c>
      <c r="G42" s="2"/>
      <c r="H42" s="2"/>
      <c r="I42" s="2"/>
      <c r="J42" s="1"/>
    </row>
    <row r="43" spans="1:10">
      <c r="A43" s="8">
        <v>31</v>
      </c>
      <c r="B43" s="9" t="s">
        <v>5</v>
      </c>
      <c r="C43" s="9" t="s">
        <v>120</v>
      </c>
      <c r="D43" s="10"/>
      <c r="E43" s="31" t="s">
        <v>90</v>
      </c>
      <c r="G43" s="2"/>
      <c r="H43" s="7"/>
      <c r="I43" s="2"/>
      <c r="J43" s="2"/>
    </row>
    <row r="44" spans="1:10">
      <c r="A44" s="8"/>
      <c r="B44" s="9"/>
      <c r="C44" s="9"/>
      <c r="D44" s="10"/>
      <c r="G44" s="2"/>
      <c r="H44" s="2"/>
      <c r="I44" s="2"/>
      <c r="J44" s="2"/>
    </row>
    <row r="45" spans="1:10">
      <c r="A45" s="8">
        <v>32</v>
      </c>
      <c r="B45" s="9" t="s">
        <v>5</v>
      </c>
      <c r="C45" s="9" t="s">
        <v>121</v>
      </c>
      <c r="D45" s="10">
        <v>21</v>
      </c>
      <c r="E45" s="32" t="s">
        <v>77</v>
      </c>
      <c r="G45" s="2"/>
      <c r="H45" s="7"/>
      <c r="I45" s="2"/>
      <c r="J45" s="2"/>
    </row>
    <row r="46" spans="1:10">
      <c r="A46" s="8">
        <v>33</v>
      </c>
      <c r="B46" s="9" t="s">
        <v>5</v>
      </c>
      <c r="C46" s="9" t="s">
        <v>122</v>
      </c>
      <c r="D46" s="10">
        <v>21.1</v>
      </c>
      <c r="E46" s="32" t="s">
        <v>26</v>
      </c>
      <c r="G46" s="2"/>
      <c r="H46" s="2"/>
      <c r="I46" s="2"/>
      <c r="J46" s="7"/>
    </row>
    <row r="47" spans="1:10">
      <c r="A47" s="8">
        <v>34</v>
      </c>
      <c r="B47" s="9" t="s">
        <v>5</v>
      </c>
      <c r="C47" s="9" t="s">
        <v>123</v>
      </c>
      <c r="D47" s="10"/>
      <c r="E47" s="32" t="s">
        <v>27</v>
      </c>
      <c r="G47" s="2"/>
      <c r="H47" s="2"/>
      <c r="I47" s="2"/>
      <c r="J47" s="7"/>
    </row>
    <row r="48" spans="1:10">
      <c r="A48" s="8">
        <v>35</v>
      </c>
      <c r="B48" s="9" t="s">
        <v>5</v>
      </c>
      <c r="C48" s="9" t="s">
        <v>124</v>
      </c>
      <c r="D48" s="10"/>
      <c r="E48" s="32" t="s">
        <v>84</v>
      </c>
      <c r="G48" s="2"/>
      <c r="H48" s="7"/>
      <c r="I48" s="2"/>
      <c r="J48" s="2"/>
    </row>
    <row r="49" spans="1:10">
      <c r="A49" s="8">
        <v>36</v>
      </c>
      <c r="B49" s="9" t="s">
        <v>5</v>
      </c>
      <c r="C49" s="9" t="s">
        <v>378</v>
      </c>
      <c r="D49" s="10">
        <v>21.2</v>
      </c>
      <c r="E49" s="33" t="s">
        <v>25</v>
      </c>
      <c r="G49" s="2"/>
      <c r="H49" s="2"/>
      <c r="I49" s="2"/>
      <c r="J49" s="7"/>
    </row>
    <row r="50" spans="1:10">
      <c r="A50" s="8">
        <v>37</v>
      </c>
      <c r="B50" s="9" t="s">
        <v>5</v>
      </c>
      <c r="C50" s="9" t="s">
        <v>379</v>
      </c>
      <c r="D50" s="10">
        <v>21.3</v>
      </c>
      <c r="E50" s="32" t="s">
        <v>28</v>
      </c>
      <c r="G50" s="2"/>
      <c r="H50" s="2"/>
      <c r="I50" s="2"/>
      <c r="J50" s="7"/>
    </row>
    <row r="51" spans="1:10">
      <c r="A51" s="8">
        <v>38</v>
      </c>
      <c r="B51" s="9" t="s">
        <v>5</v>
      </c>
      <c r="C51" s="9"/>
      <c r="D51" s="10" t="s">
        <v>132</v>
      </c>
      <c r="E51" s="32" t="s">
        <v>29</v>
      </c>
      <c r="G51" s="2"/>
      <c r="H51" s="2"/>
      <c r="I51" s="2"/>
      <c r="J51" s="7"/>
    </row>
    <row r="52" spans="1:10">
      <c r="A52" s="8">
        <v>39</v>
      </c>
      <c r="B52" s="9" t="s">
        <v>5</v>
      </c>
      <c r="C52" s="9" t="s">
        <v>396</v>
      </c>
      <c r="D52" s="9">
        <v>22</v>
      </c>
      <c r="E52" s="12" t="s">
        <v>87</v>
      </c>
      <c r="G52" s="7"/>
      <c r="H52" s="2"/>
      <c r="I52" s="2"/>
      <c r="J52" s="2"/>
    </row>
    <row r="53" spans="1:10">
      <c r="A53" s="8">
        <v>40</v>
      </c>
      <c r="B53" s="9" t="s">
        <v>5</v>
      </c>
      <c r="C53" s="9" t="s">
        <v>380</v>
      </c>
      <c r="D53" s="9">
        <v>22</v>
      </c>
      <c r="E53" s="12" t="s">
        <v>88</v>
      </c>
      <c r="G53" s="7"/>
      <c r="H53" s="2"/>
      <c r="I53" s="2"/>
      <c r="J53" s="2"/>
    </row>
    <row r="54" spans="1:10">
      <c r="A54" s="8">
        <v>41</v>
      </c>
      <c r="B54" s="9" t="s">
        <v>5</v>
      </c>
      <c r="C54" s="9"/>
      <c r="D54" s="10">
        <v>23</v>
      </c>
      <c r="E54" s="33" t="s">
        <v>31</v>
      </c>
      <c r="G54" s="2"/>
      <c r="H54" s="2"/>
      <c r="I54" s="2"/>
      <c r="J54" s="7"/>
    </row>
    <row r="55" spans="1:10">
      <c r="A55" s="8">
        <v>42</v>
      </c>
      <c r="B55" s="9" t="s">
        <v>5</v>
      </c>
      <c r="C55" s="9" t="s">
        <v>397</v>
      </c>
      <c r="D55" s="10">
        <v>23</v>
      </c>
      <c r="E55" s="33" t="s">
        <v>85</v>
      </c>
      <c r="G55" s="2"/>
      <c r="H55" s="2"/>
      <c r="I55" s="2"/>
      <c r="J55" s="2"/>
    </row>
    <row r="56" spans="1:10">
      <c r="A56" s="8">
        <v>43</v>
      </c>
      <c r="B56" s="9" t="s">
        <v>5</v>
      </c>
      <c r="C56" s="9" t="s">
        <v>381</v>
      </c>
      <c r="D56" s="10">
        <v>23</v>
      </c>
      <c r="E56" s="33" t="s">
        <v>86</v>
      </c>
      <c r="G56" s="2"/>
      <c r="H56" s="2"/>
      <c r="I56" s="2"/>
      <c r="J56" s="2"/>
    </row>
    <row r="57" spans="1:10">
      <c r="A57" s="8">
        <v>44</v>
      </c>
      <c r="B57" s="9" t="s">
        <v>5</v>
      </c>
      <c r="C57" s="1712" t="s">
        <v>383</v>
      </c>
      <c r="D57" s="10" t="s">
        <v>133</v>
      </c>
      <c r="E57" s="33" t="s">
        <v>32</v>
      </c>
      <c r="G57" s="2"/>
      <c r="H57" s="2"/>
      <c r="I57" s="2"/>
      <c r="J57" s="7"/>
    </row>
    <row r="58" spans="1:10">
      <c r="A58" s="8">
        <v>45</v>
      </c>
      <c r="B58" s="9" t="s">
        <v>5</v>
      </c>
      <c r="C58" s="1713"/>
      <c r="D58" s="10">
        <v>26</v>
      </c>
      <c r="E58" s="33" t="s">
        <v>89</v>
      </c>
      <c r="G58" s="2"/>
      <c r="H58" s="7"/>
      <c r="I58" s="2"/>
      <c r="J58" s="2"/>
    </row>
    <row r="59" spans="1:10">
      <c r="A59" s="8">
        <v>46</v>
      </c>
      <c r="B59" s="9" t="s">
        <v>5</v>
      </c>
      <c r="C59" s="9" t="s">
        <v>382</v>
      </c>
      <c r="D59" s="10">
        <v>24</v>
      </c>
      <c r="E59" s="34" t="s">
        <v>33</v>
      </c>
      <c r="G59" s="2"/>
      <c r="H59" s="4"/>
      <c r="I59" s="2"/>
      <c r="J59" s="7"/>
    </row>
    <row r="60" spans="1:10">
      <c r="A60" s="8">
        <v>47</v>
      </c>
      <c r="B60" s="9" t="s">
        <v>5</v>
      </c>
      <c r="C60" s="9" t="s">
        <v>390</v>
      </c>
      <c r="D60" s="10">
        <v>28</v>
      </c>
      <c r="E60" s="34" t="s">
        <v>34</v>
      </c>
      <c r="G60" s="2"/>
      <c r="H60" s="4"/>
      <c r="I60" s="2"/>
      <c r="J60" s="7"/>
    </row>
    <row r="61" spans="1:10">
      <c r="A61" s="8">
        <v>48</v>
      </c>
      <c r="B61" s="9"/>
      <c r="C61" s="9" t="s">
        <v>391</v>
      </c>
      <c r="D61" s="10"/>
      <c r="E61" s="34" t="s">
        <v>398</v>
      </c>
      <c r="G61" s="2"/>
      <c r="H61" s="2"/>
      <c r="I61" s="2"/>
      <c r="J61" s="2"/>
    </row>
    <row r="62" spans="1:10">
      <c r="A62" s="8">
        <v>49</v>
      </c>
      <c r="B62" s="9" t="s">
        <v>5</v>
      </c>
      <c r="C62" s="9" t="s">
        <v>389</v>
      </c>
      <c r="D62" s="10">
        <v>29</v>
      </c>
      <c r="E62" s="34" t="s">
        <v>35</v>
      </c>
      <c r="G62" s="2"/>
      <c r="H62" s="2"/>
      <c r="I62" s="2"/>
      <c r="J62" s="7"/>
    </row>
    <row r="63" spans="1:10">
      <c r="A63" s="8">
        <v>50</v>
      </c>
      <c r="B63" s="9" t="s">
        <v>5</v>
      </c>
      <c r="C63" s="9" t="s">
        <v>385</v>
      </c>
      <c r="D63" s="10">
        <v>17</v>
      </c>
      <c r="E63" s="34" t="s">
        <v>36</v>
      </c>
      <c r="G63" s="2"/>
      <c r="H63" s="7"/>
      <c r="I63" s="2"/>
      <c r="J63" s="2"/>
    </row>
    <row r="64" spans="1:10">
      <c r="A64" s="8">
        <v>51</v>
      </c>
      <c r="B64" s="9" t="s">
        <v>5</v>
      </c>
      <c r="C64" s="9" t="s">
        <v>384</v>
      </c>
      <c r="D64" s="9">
        <v>27</v>
      </c>
      <c r="E64" s="35" t="s">
        <v>37</v>
      </c>
      <c r="G64" s="2"/>
      <c r="H64" s="2"/>
      <c r="I64" s="2"/>
      <c r="J64" s="7"/>
    </row>
    <row r="65" spans="1:10">
      <c r="A65" s="8">
        <v>52</v>
      </c>
      <c r="B65" s="9" t="s">
        <v>5</v>
      </c>
      <c r="C65" s="2" t="s">
        <v>387</v>
      </c>
      <c r="D65" s="13">
        <v>21</v>
      </c>
      <c r="E65" s="35" t="s">
        <v>76</v>
      </c>
      <c r="G65" s="2"/>
      <c r="H65" s="7"/>
      <c r="I65" s="2"/>
      <c r="J65" s="2"/>
    </row>
    <row r="66" spans="1:10">
      <c r="A66" s="8">
        <v>53</v>
      </c>
      <c r="B66" s="9" t="s">
        <v>5</v>
      </c>
      <c r="C66" s="2" t="s">
        <v>388</v>
      </c>
      <c r="D66" s="2"/>
      <c r="E66" s="35" t="s">
        <v>91</v>
      </c>
      <c r="G66" s="2"/>
      <c r="H66" s="7"/>
      <c r="I66" s="2"/>
      <c r="J66" s="2"/>
    </row>
    <row r="67" spans="1:10">
      <c r="A67" s="8">
        <v>54</v>
      </c>
      <c r="B67" s="9" t="s">
        <v>5</v>
      </c>
      <c r="C67" s="2" t="s">
        <v>386</v>
      </c>
      <c r="D67" s="2"/>
      <c r="E67" s="35" t="s">
        <v>94</v>
      </c>
      <c r="G67" s="2"/>
      <c r="H67" s="7"/>
      <c r="I67" s="2"/>
      <c r="J67" s="2"/>
    </row>
    <row r="68" spans="1:10">
      <c r="A68" s="8">
        <v>55</v>
      </c>
      <c r="B68" s="9" t="s">
        <v>5</v>
      </c>
      <c r="C68" s="2" t="s">
        <v>399</v>
      </c>
      <c r="D68" s="2"/>
      <c r="E68" s="35" t="s">
        <v>92</v>
      </c>
      <c r="G68" s="2"/>
      <c r="H68" s="7"/>
      <c r="I68" s="2"/>
      <c r="J68" s="2"/>
    </row>
    <row r="69" spans="1:10">
      <c r="A69" s="8">
        <v>56</v>
      </c>
      <c r="B69" s="9" t="s">
        <v>5</v>
      </c>
      <c r="C69" s="2" t="s">
        <v>400</v>
      </c>
      <c r="D69" s="2"/>
      <c r="E69" s="35" t="s">
        <v>93</v>
      </c>
      <c r="G69" s="2"/>
      <c r="H69" s="7"/>
      <c r="I69" s="2"/>
      <c r="J69" s="2"/>
    </row>
    <row r="70" spans="1:10">
      <c r="A70" s="36"/>
      <c r="E70" s="37"/>
    </row>
    <row r="71" spans="1:10">
      <c r="B71" s="38"/>
      <c r="C71" s="38"/>
      <c r="D71" s="38"/>
      <c r="E71" s="38"/>
    </row>
    <row r="72" spans="1:10">
      <c r="A72" s="39" t="s">
        <v>38</v>
      </c>
    </row>
    <row r="73" spans="1:10">
      <c r="A73" s="41" t="s">
        <v>39</v>
      </c>
      <c r="B73" s="38" t="s">
        <v>40</v>
      </c>
      <c r="C73" s="38"/>
      <c r="D73" s="38"/>
      <c r="E73" s="38"/>
    </row>
    <row r="74" spans="1:10">
      <c r="A74" s="41" t="s">
        <v>41</v>
      </c>
      <c r="B74" s="38" t="s">
        <v>42</v>
      </c>
      <c r="C74" s="38"/>
      <c r="D74" s="38"/>
      <c r="E74" s="38"/>
    </row>
  </sheetData>
  <mergeCells count="8">
    <mergeCell ref="C57:C58"/>
    <mergeCell ref="A7:E7"/>
    <mergeCell ref="A1:E1"/>
    <mergeCell ref="A6:E6"/>
    <mergeCell ref="A2:C2"/>
    <mergeCell ref="A3:C3"/>
    <mergeCell ref="A4:C4"/>
    <mergeCell ref="A5:E5"/>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sheetPr>
  <dimension ref="A1:N51"/>
  <sheetViews>
    <sheetView showGridLines="0" view="pageBreakPreview" topLeftCell="A27" zoomScale="70" zoomScaleNormal="70" zoomScaleSheetLayoutView="70" workbookViewId="0">
      <selection activeCell="K47" sqref="K47"/>
    </sheetView>
  </sheetViews>
  <sheetFormatPr defaultRowHeight="15.75"/>
  <cols>
    <col min="1" max="1" width="3" style="389" bestFit="1" customWidth="1"/>
    <col min="2" max="3" width="9.140625" style="389"/>
    <col min="4" max="4" width="27.7109375" style="389" customWidth="1"/>
    <col min="5" max="5" width="19.140625" style="389" customWidth="1"/>
    <col min="6" max="6" width="21.7109375" style="389" customWidth="1"/>
    <col min="7" max="7" width="23.140625" style="389" bestFit="1" customWidth="1"/>
    <col min="8" max="8" width="14.28515625" style="389" hidden="1" customWidth="1"/>
    <col min="9" max="9" width="16.5703125" style="389" hidden="1" customWidth="1"/>
    <col min="10" max="11" width="17.85546875" style="389" customWidth="1"/>
    <col min="12" max="13" width="19.42578125" style="389" customWidth="1"/>
    <col min="14" max="263" width="9.140625" style="389"/>
    <col min="264" max="264" width="10.7109375" style="389" customWidth="1"/>
    <col min="265" max="519" width="9.140625" style="389"/>
    <col min="520" max="520" width="10.7109375" style="389" customWidth="1"/>
    <col min="521" max="775" width="9.140625" style="389"/>
    <col min="776" max="776" width="10.7109375" style="389" customWidth="1"/>
    <col min="777" max="1031" width="9.140625" style="389"/>
    <col min="1032" max="1032" width="10.7109375" style="389" customWidth="1"/>
    <col min="1033" max="1287" width="9.140625" style="389"/>
    <col min="1288" max="1288" width="10.7109375" style="389" customWidth="1"/>
    <col min="1289" max="1543" width="9.140625" style="389"/>
    <col min="1544" max="1544" width="10.7109375" style="389" customWidth="1"/>
    <col min="1545" max="1799" width="9.140625" style="389"/>
    <col min="1800" max="1800" width="10.7109375" style="389" customWidth="1"/>
    <col min="1801" max="2055" width="9.140625" style="389"/>
    <col min="2056" max="2056" width="10.7109375" style="389" customWidth="1"/>
    <col min="2057" max="2311" width="9.140625" style="389"/>
    <col min="2312" max="2312" width="10.7109375" style="389" customWidth="1"/>
    <col min="2313" max="2567" width="9.140625" style="389"/>
    <col min="2568" max="2568" width="10.7109375" style="389" customWidth="1"/>
    <col min="2569" max="2823" width="9.140625" style="389"/>
    <col min="2824" max="2824" width="10.7109375" style="389" customWidth="1"/>
    <col min="2825" max="3079" width="9.140625" style="389"/>
    <col min="3080" max="3080" width="10.7109375" style="389" customWidth="1"/>
    <col min="3081" max="3335" width="9.140625" style="389"/>
    <col min="3336" max="3336" width="10.7109375" style="389" customWidth="1"/>
    <col min="3337" max="3591" width="9.140625" style="389"/>
    <col min="3592" max="3592" width="10.7109375" style="389" customWidth="1"/>
    <col min="3593" max="3847" width="9.140625" style="389"/>
    <col min="3848" max="3848" width="10.7109375" style="389" customWidth="1"/>
    <col min="3849" max="4103" width="9.140625" style="389"/>
    <col min="4104" max="4104" width="10.7109375" style="389" customWidth="1"/>
    <col min="4105" max="4359" width="9.140625" style="389"/>
    <col min="4360" max="4360" width="10.7109375" style="389" customWidth="1"/>
    <col min="4361" max="4615" width="9.140625" style="389"/>
    <col min="4616" max="4616" width="10.7109375" style="389" customWidth="1"/>
    <col min="4617" max="4871" width="9.140625" style="389"/>
    <col min="4872" max="4872" width="10.7109375" style="389" customWidth="1"/>
    <col min="4873" max="5127" width="9.140625" style="389"/>
    <col min="5128" max="5128" width="10.7109375" style="389" customWidth="1"/>
    <col min="5129" max="5383" width="9.140625" style="389"/>
    <col min="5384" max="5384" width="10.7109375" style="389" customWidth="1"/>
    <col min="5385" max="5639" width="9.140625" style="389"/>
    <col min="5640" max="5640" width="10.7109375" style="389" customWidth="1"/>
    <col min="5641" max="5895" width="9.140625" style="389"/>
    <col min="5896" max="5896" width="10.7109375" style="389" customWidth="1"/>
    <col min="5897" max="6151" width="9.140625" style="389"/>
    <col min="6152" max="6152" width="10.7109375" style="389" customWidth="1"/>
    <col min="6153" max="6407" width="9.140625" style="389"/>
    <col min="6408" max="6408" width="10.7109375" style="389" customWidth="1"/>
    <col min="6409" max="6663" width="9.140625" style="389"/>
    <col min="6664" max="6664" width="10.7109375" style="389" customWidth="1"/>
    <col min="6665" max="6919" width="9.140625" style="389"/>
    <col min="6920" max="6920" width="10.7109375" style="389" customWidth="1"/>
    <col min="6921" max="7175" width="9.140625" style="389"/>
    <col min="7176" max="7176" width="10.7109375" style="389" customWidth="1"/>
    <col min="7177" max="7431" width="9.140625" style="389"/>
    <col min="7432" max="7432" width="10.7109375" style="389" customWidth="1"/>
    <col min="7433" max="7687" width="9.140625" style="389"/>
    <col min="7688" max="7688" width="10.7109375" style="389" customWidth="1"/>
    <col min="7689" max="7943" width="9.140625" style="389"/>
    <col min="7944" max="7944" width="10.7109375" style="389" customWidth="1"/>
    <col min="7945" max="8199" width="9.140625" style="389"/>
    <col min="8200" max="8200" width="10.7109375" style="389" customWidth="1"/>
    <col min="8201" max="8455" width="9.140625" style="389"/>
    <col min="8456" max="8456" width="10.7109375" style="389" customWidth="1"/>
    <col min="8457" max="8711" width="9.140625" style="389"/>
    <col min="8712" max="8712" width="10.7109375" style="389" customWidth="1"/>
    <col min="8713" max="8967" width="9.140625" style="389"/>
    <col min="8968" max="8968" width="10.7109375" style="389" customWidth="1"/>
    <col min="8969" max="9223" width="9.140625" style="389"/>
    <col min="9224" max="9224" width="10.7109375" style="389" customWidth="1"/>
    <col min="9225" max="9479" width="9.140625" style="389"/>
    <col min="9480" max="9480" width="10.7109375" style="389" customWidth="1"/>
    <col min="9481" max="9735" width="9.140625" style="389"/>
    <col min="9736" max="9736" width="10.7109375" style="389" customWidth="1"/>
    <col min="9737" max="9991" width="9.140625" style="389"/>
    <col min="9992" max="9992" width="10.7109375" style="389" customWidth="1"/>
    <col min="9993" max="10247" width="9.140625" style="389"/>
    <col min="10248" max="10248" width="10.7109375" style="389" customWidth="1"/>
    <col min="10249" max="10503" width="9.140625" style="389"/>
    <col min="10504" max="10504" width="10.7109375" style="389" customWidth="1"/>
    <col min="10505" max="10759" width="9.140625" style="389"/>
    <col min="10760" max="10760" width="10.7109375" style="389" customWidth="1"/>
    <col min="10761" max="11015" width="9.140625" style="389"/>
    <col min="11016" max="11016" width="10.7109375" style="389" customWidth="1"/>
    <col min="11017" max="11271" width="9.140625" style="389"/>
    <col min="11272" max="11272" width="10.7109375" style="389" customWidth="1"/>
    <col min="11273" max="11527" width="9.140625" style="389"/>
    <col min="11528" max="11528" width="10.7109375" style="389" customWidth="1"/>
    <col min="11529" max="11783" width="9.140625" style="389"/>
    <col min="11784" max="11784" width="10.7109375" style="389" customWidth="1"/>
    <col min="11785" max="12039" width="9.140625" style="389"/>
    <col min="12040" max="12040" width="10.7109375" style="389" customWidth="1"/>
    <col min="12041" max="12295" width="9.140625" style="389"/>
    <col min="12296" max="12296" width="10.7109375" style="389" customWidth="1"/>
    <col min="12297" max="12551" width="9.140625" style="389"/>
    <col min="12552" max="12552" width="10.7109375" style="389" customWidth="1"/>
    <col min="12553" max="12807" width="9.140625" style="389"/>
    <col min="12808" max="12808" width="10.7109375" style="389" customWidth="1"/>
    <col min="12809" max="13063" width="9.140625" style="389"/>
    <col min="13064" max="13064" width="10.7109375" style="389" customWidth="1"/>
    <col min="13065" max="13319" width="9.140625" style="389"/>
    <col min="13320" max="13320" width="10.7109375" style="389" customWidth="1"/>
    <col min="13321" max="13575" width="9.140625" style="389"/>
    <col min="13576" max="13576" width="10.7109375" style="389" customWidth="1"/>
    <col min="13577" max="13831" width="9.140625" style="389"/>
    <col min="13832" max="13832" width="10.7109375" style="389" customWidth="1"/>
    <col min="13833" max="14087" width="9.140625" style="389"/>
    <col min="14088" max="14088" width="10.7109375" style="389" customWidth="1"/>
    <col min="14089" max="14343" width="9.140625" style="389"/>
    <col min="14344" max="14344" width="10.7109375" style="389" customWidth="1"/>
    <col min="14345" max="14599" width="9.140625" style="389"/>
    <col min="14600" max="14600" width="10.7109375" style="389" customWidth="1"/>
    <col min="14601" max="14855" width="9.140625" style="389"/>
    <col min="14856" max="14856" width="10.7109375" style="389" customWidth="1"/>
    <col min="14857" max="15111" width="9.140625" style="389"/>
    <col min="15112" max="15112" width="10.7109375" style="389" customWidth="1"/>
    <col min="15113" max="15367" width="9.140625" style="389"/>
    <col min="15368" max="15368" width="10.7109375" style="389" customWidth="1"/>
    <col min="15369" max="15623" width="9.140625" style="389"/>
    <col min="15624" max="15624" width="10.7109375" style="389" customWidth="1"/>
    <col min="15625" max="15879" width="9.140625" style="389"/>
    <col min="15880" max="15880" width="10.7109375" style="389" customWidth="1"/>
    <col min="15881" max="16135" width="9.140625" style="389"/>
    <col min="16136" max="16136" width="10.7109375" style="389" customWidth="1"/>
    <col min="16137" max="16384" width="9.140625" style="389"/>
  </cols>
  <sheetData>
    <row r="1" spans="1:14">
      <c r="A1" s="1840" t="s">
        <v>1158</v>
      </c>
      <c r="B1" s="1840"/>
      <c r="C1" s="1840"/>
      <c r="D1" s="1840"/>
      <c r="E1" s="1840"/>
      <c r="F1" s="1840"/>
      <c r="G1" s="1840"/>
      <c r="H1" s="1840"/>
      <c r="I1" s="1840"/>
      <c r="J1" s="1840"/>
      <c r="K1" s="1840"/>
      <c r="L1" s="1840"/>
      <c r="M1" s="1840"/>
    </row>
    <row r="2" spans="1:14">
      <c r="A2" s="396"/>
      <c r="B2" s="396"/>
      <c r="C2" s="396"/>
      <c r="D2" s="396"/>
      <c r="E2" s="396"/>
      <c r="F2" s="396"/>
      <c r="G2" s="396"/>
      <c r="H2" s="396"/>
      <c r="I2" s="396"/>
      <c r="J2" s="396"/>
      <c r="K2" s="815"/>
      <c r="L2" s="396"/>
      <c r="M2" s="396"/>
    </row>
    <row r="3" spans="1:14">
      <c r="A3" s="1841" t="s">
        <v>1026</v>
      </c>
      <c r="B3" s="1841"/>
      <c r="C3" s="1841"/>
      <c r="D3" s="1841"/>
      <c r="E3" s="1841"/>
      <c r="F3" s="1841"/>
      <c r="G3" s="1841"/>
      <c r="H3" s="1841"/>
      <c r="I3" s="1841"/>
      <c r="J3" s="1841"/>
      <c r="K3" s="816"/>
      <c r="L3" s="1814"/>
      <c r="M3" s="1814"/>
    </row>
    <row r="4" spans="1:14" ht="16.5">
      <c r="A4" s="397"/>
      <c r="B4" s="397"/>
      <c r="C4" s="397"/>
      <c r="D4" s="397"/>
      <c r="E4" s="381"/>
      <c r="F4" s="381"/>
      <c r="G4" s="381"/>
      <c r="H4" s="381"/>
      <c r="I4" s="381"/>
      <c r="J4" s="381"/>
      <c r="K4" s="381"/>
      <c r="L4" s="383" t="s">
        <v>1027</v>
      </c>
      <c r="M4" s="381"/>
    </row>
    <row r="5" spans="1:14">
      <c r="A5" s="1843" t="s">
        <v>1168</v>
      </c>
      <c r="B5" s="1843"/>
      <c r="C5" s="1843"/>
      <c r="D5" s="1843"/>
      <c r="E5" s="1843"/>
      <c r="F5" s="1843"/>
      <c r="G5" s="1843"/>
      <c r="H5" s="1843"/>
      <c r="I5" s="1843"/>
      <c r="J5" s="1843"/>
      <c r="K5" s="1843"/>
      <c r="L5" s="1843"/>
      <c r="M5" s="1843"/>
    </row>
    <row r="6" spans="1:14" ht="27.75" customHeight="1">
      <c r="A6" s="1846"/>
      <c r="B6" s="1844" t="s">
        <v>1028</v>
      </c>
      <c r="C6" s="1844"/>
      <c r="D6" s="1844"/>
      <c r="E6" s="1822" t="s">
        <v>1846</v>
      </c>
      <c r="F6" s="1823"/>
      <c r="G6" s="1824" t="s">
        <v>1847</v>
      </c>
      <c r="H6" s="1825"/>
      <c r="I6" s="1825"/>
      <c r="J6" s="1826"/>
      <c r="K6" s="1829" t="s">
        <v>1159</v>
      </c>
      <c r="L6" s="1830"/>
      <c r="M6" s="1831"/>
    </row>
    <row r="7" spans="1:14" ht="44.25" customHeight="1">
      <c r="A7" s="1843"/>
      <c r="B7" s="1845"/>
      <c r="C7" s="1845"/>
      <c r="D7" s="1845"/>
      <c r="E7" s="361" t="s">
        <v>1160</v>
      </c>
      <c r="F7" s="282" t="s">
        <v>230</v>
      </c>
      <c r="G7" s="361" t="s">
        <v>1160</v>
      </c>
      <c r="H7" s="361" t="s">
        <v>1163</v>
      </c>
      <c r="I7" s="361" t="s">
        <v>1164</v>
      </c>
      <c r="J7" s="363" t="s">
        <v>1165</v>
      </c>
      <c r="K7" s="87" t="s">
        <v>1841</v>
      </c>
      <c r="L7" s="87" t="s">
        <v>1842</v>
      </c>
      <c r="M7" s="87" t="s">
        <v>1843</v>
      </c>
    </row>
    <row r="8" spans="1:14">
      <c r="A8" s="1265" t="s">
        <v>137</v>
      </c>
      <c r="B8" s="1842" t="s">
        <v>1029</v>
      </c>
      <c r="C8" s="1842"/>
      <c r="D8" s="1842"/>
      <c r="E8" s="1266"/>
      <c r="F8" s="1266"/>
      <c r="G8" s="1266"/>
      <c r="H8" s="1266"/>
      <c r="I8" s="1266"/>
      <c r="J8" s="1266"/>
      <c r="K8" s="1266"/>
      <c r="L8" s="1266"/>
      <c r="M8" s="1266"/>
    </row>
    <row r="9" spans="1:14" ht="36.75" customHeight="1">
      <c r="A9" s="1267">
        <v>1</v>
      </c>
      <c r="B9" s="1837" t="s">
        <v>1030</v>
      </c>
      <c r="C9" s="1836"/>
      <c r="D9" s="1836"/>
      <c r="E9" s="1268">
        <v>10589.92</v>
      </c>
      <c r="F9" s="1269">
        <v>11287.64</v>
      </c>
      <c r="G9" s="554"/>
      <c r="H9" s="554"/>
      <c r="I9" s="554"/>
      <c r="J9" s="659">
        <v>12835.9084794887</v>
      </c>
      <c r="K9" s="1270">
        <v>13779.869912334963</v>
      </c>
      <c r="L9" s="1270">
        <v>15056.044176745576</v>
      </c>
      <c r="M9" s="1270">
        <v>16459.529210174533</v>
      </c>
    </row>
    <row r="10" spans="1:14" ht="36.75" customHeight="1">
      <c r="A10" s="1267">
        <v>2</v>
      </c>
      <c r="B10" s="1837" t="s">
        <v>1031</v>
      </c>
      <c r="C10" s="1836"/>
      <c r="D10" s="1836"/>
      <c r="E10" s="1268">
        <v>12123.43</v>
      </c>
      <c r="F10" s="1269">
        <v>13054.4</v>
      </c>
      <c r="G10" s="554"/>
      <c r="H10" s="554"/>
      <c r="I10" s="554"/>
      <c r="J10" s="659">
        <v>14907.4125627433</v>
      </c>
      <c r="K10" s="1270">
        <v>16055.003120765528</v>
      </c>
      <c r="L10" s="1270">
        <v>17530.54983207021</v>
      </c>
      <c r="M10" s="1270">
        <v>19169.160204383592</v>
      </c>
    </row>
    <row r="11" spans="1:14">
      <c r="A11" s="1271">
        <v>3</v>
      </c>
      <c r="B11" s="1839" t="s">
        <v>146</v>
      </c>
      <c r="C11" s="1839"/>
      <c r="D11" s="1839"/>
      <c r="E11" s="1272"/>
      <c r="F11" s="1272"/>
      <c r="G11" s="1272"/>
      <c r="H11" s="1272"/>
      <c r="I11" s="1272"/>
      <c r="J11" s="1272"/>
      <c r="K11" s="1272"/>
      <c r="L11" s="1272"/>
      <c r="M11" s="1272"/>
    </row>
    <row r="12" spans="1:14">
      <c r="A12" s="1267"/>
      <c r="B12" s="1836"/>
      <c r="C12" s="1836"/>
      <c r="D12" s="1836"/>
      <c r="E12" s="554"/>
      <c r="F12" s="554"/>
      <c r="G12" s="554"/>
      <c r="H12" s="554"/>
      <c r="I12" s="554"/>
      <c r="J12" s="554"/>
      <c r="K12" s="554"/>
      <c r="L12" s="554"/>
      <c r="M12" s="554"/>
    </row>
    <row r="13" spans="1:14">
      <c r="A13" s="1267"/>
      <c r="B13" s="1836"/>
      <c r="C13" s="1836"/>
      <c r="D13" s="1836"/>
      <c r="E13" s="554"/>
      <c r="F13" s="554"/>
      <c r="G13" s="554"/>
      <c r="H13" s="554"/>
      <c r="I13" s="554"/>
      <c r="J13" s="554"/>
      <c r="K13" s="554"/>
      <c r="L13" s="554"/>
      <c r="M13" s="554"/>
    </row>
    <row r="14" spans="1:14" ht="36.75" customHeight="1">
      <c r="A14" s="1267" t="s">
        <v>142</v>
      </c>
      <c r="B14" s="1837" t="s">
        <v>1032</v>
      </c>
      <c r="C14" s="1836"/>
      <c r="D14" s="1836"/>
      <c r="E14" s="554"/>
      <c r="F14" s="554"/>
      <c r="G14" s="554"/>
      <c r="H14" s="554"/>
      <c r="I14" s="554"/>
      <c r="J14" s="554"/>
      <c r="K14" s="554"/>
      <c r="L14" s="554"/>
      <c r="M14" s="554"/>
    </row>
    <row r="15" spans="1:14">
      <c r="A15" s="1265">
        <v>1</v>
      </c>
      <c r="B15" s="1847"/>
      <c r="C15" s="1847"/>
      <c r="D15" s="1847"/>
      <c r="E15" s="1273"/>
      <c r="F15" s="1273"/>
      <c r="G15" s="1273"/>
      <c r="H15" s="1273"/>
      <c r="I15" s="1273"/>
      <c r="J15" s="1273"/>
      <c r="K15" s="1273"/>
      <c r="L15" s="1273"/>
      <c r="M15" s="1273"/>
      <c r="N15" s="1286"/>
    </row>
    <row r="16" spans="1:14">
      <c r="A16" s="1267">
        <v>2</v>
      </c>
      <c r="B16" s="1836"/>
      <c r="C16" s="1836"/>
      <c r="D16" s="1836"/>
      <c r="E16" s="554"/>
      <c r="F16" s="554"/>
      <c r="G16" s="554"/>
      <c r="H16" s="554"/>
      <c r="I16" s="554"/>
      <c r="J16" s="554"/>
      <c r="K16" s="554"/>
      <c r="L16" s="554"/>
      <c r="M16" s="554"/>
    </row>
    <row r="17" spans="1:14">
      <c r="A17" s="1267"/>
      <c r="B17" s="1836" t="s">
        <v>1033</v>
      </c>
      <c r="C17" s="1836"/>
      <c r="D17" s="1836"/>
      <c r="E17" s="554"/>
      <c r="F17" s="1274">
        <f>SUM(F9:F15)</f>
        <v>24342.04</v>
      </c>
      <c r="G17" s="554"/>
      <c r="H17" s="554"/>
      <c r="I17" s="554"/>
      <c r="J17" s="1274">
        <f>SUM(J9:J15)</f>
        <v>27743.321042232001</v>
      </c>
      <c r="K17" s="1274">
        <f t="shared" ref="K17:M17" si="0">SUM(K9:K15)</f>
        <v>29834.873033100492</v>
      </c>
      <c r="L17" s="1274">
        <f t="shared" si="0"/>
        <v>32586.594008815788</v>
      </c>
      <c r="M17" s="1274">
        <f t="shared" si="0"/>
        <v>35628.689414558125</v>
      </c>
    </row>
    <row r="18" spans="1:14">
      <c r="A18" s="1275"/>
      <c r="B18" s="1240"/>
      <c r="C18" s="1240"/>
      <c r="D18" s="1240"/>
      <c r="E18" s="1276"/>
      <c r="F18" s="1276"/>
      <c r="G18" s="1276"/>
      <c r="H18" s="1276"/>
      <c r="I18" s="1276"/>
      <c r="J18" s="1276"/>
      <c r="K18" s="1276"/>
      <c r="L18" s="1277"/>
      <c r="M18" s="1277"/>
    </row>
    <row r="19" spans="1:14">
      <c r="A19" s="703"/>
      <c r="B19" s="1240"/>
      <c r="C19" s="1240"/>
      <c r="D19" s="1240"/>
      <c r="E19" s="576"/>
      <c r="F19" s="576"/>
      <c r="G19" s="576"/>
      <c r="H19" s="576"/>
      <c r="I19" s="576"/>
      <c r="J19" s="576"/>
      <c r="K19" s="576"/>
      <c r="L19" s="1278"/>
      <c r="M19" s="1278"/>
    </row>
    <row r="20" spans="1:14">
      <c r="A20" s="1833" t="s">
        <v>148</v>
      </c>
      <c r="B20" s="1833"/>
      <c r="C20" s="1833"/>
      <c r="D20" s="1833"/>
      <c r="E20" s="1833"/>
      <c r="F20" s="1833"/>
      <c r="G20" s="1833"/>
      <c r="H20" s="1833"/>
      <c r="I20" s="1833"/>
      <c r="J20" s="1833"/>
      <c r="K20" s="1833"/>
      <c r="L20" s="1833"/>
      <c r="M20" s="1833"/>
    </row>
    <row r="21" spans="1:14" ht="15.75" customHeight="1">
      <c r="A21" s="1832"/>
      <c r="B21" s="1834" t="s">
        <v>1028</v>
      </c>
      <c r="C21" s="1834"/>
      <c r="D21" s="1834"/>
      <c r="E21" s="1822" t="s">
        <v>1846</v>
      </c>
      <c r="F21" s="1823"/>
      <c r="G21" s="1824" t="s">
        <v>1847</v>
      </c>
      <c r="H21" s="1825"/>
      <c r="I21" s="1825"/>
      <c r="J21" s="1826"/>
      <c r="K21" s="1829" t="s">
        <v>1159</v>
      </c>
      <c r="L21" s="1830"/>
      <c r="M21" s="1831"/>
    </row>
    <row r="22" spans="1:14" ht="31.5">
      <c r="A22" s="1833"/>
      <c r="B22" s="1835"/>
      <c r="C22" s="1835"/>
      <c r="D22" s="1835"/>
      <c r="E22" s="1238" t="s">
        <v>1160</v>
      </c>
      <c r="F22" s="282" t="s">
        <v>230</v>
      </c>
      <c r="G22" s="1238" t="s">
        <v>1160</v>
      </c>
      <c r="H22" s="1238" t="s">
        <v>1163</v>
      </c>
      <c r="I22" s="1238" t="s">
        <v>1164</v>
      </c>
      <c r="J22" s="1256" t="s">
        <v>1165</v>
      </c>
      <c r="K22" s="1279" t="s">
        <v>1841</v>
      </c>
      <c r="L22" s="1279" t="s">
        <v>1842</v>
      </c>
      <c r="M22" s="1279" t="s">
        <v>1843</v>
      </c>
    </row>
    <row r="23" spans="1:14">
      <c r="A23" s="1280" t="s">
        <v>137</v>
      </c>
      <c r="B23" s="1833" t="s">
        <v>1029</v>
      </c>
      <c r="C23" s="1833"/>
      <c r="D23" s="1833"/>
      <c r="E23" s="1280"/>
      <c r="F23" s="1280"/>
      <c r="G23" s="1280"/>
      <c r="H23" s="1280"/>
      <c r="I23" s="1280"/>
      <c r="J23" s="1280"/>
      <c r="K23" s="1280"/>
      <c r="L23" s="1280"/>
      <c r="M23" s="1280"/>
    </row>
    <row r="24" spans="1:14" ht="33.75" customHeight="1">
      <c r="A24" s="1267">
        <v>1</v>
      </c>
      <c r="B24" s="1837" t="s">
        <v>1030</v>
      </c>
      <c r="C24" s="1836"/>
      <c r="D24" s="1836"/>
      <c r="E24" s="1269" t="s">
        <v>2263</v>
      </c>
      <c r="F24" s="1281">
        <v>10422039.276000001</v>
      </c>
      <c r="G24" s="1282"/>
      <c r="H24" s="1282"/>
      <c r="I24" s="1282"/>
      <c r="J24" s="1282">
        <v>11596422.558781801</v>
      </c>
      <c r="K24" s="1281">
        <v>12289182.588867672</v>
      </c>
      <c r="L24" s="1281">
        <v>13046881.28215592</v>
      </c>
      <c r="M24" s="1281">
        <v>13861654.893245159</v>
      </c>
    </row>
    <row r="25" spans="1:14" ht="33.75" customHeight="1">
      <c r="A25" s="1267">
        <v>2</v>
      </c>
      <c r="B25" s="1837" t="s">
        <v>1031</v>
      </c>
      <c r="C25" s="1836"/>
      <c r="D25" s="1836"/>
      <c r="E25" s="1283">
        <v>10038173</v>
      </c>
      <c r="F25" s="1281">
        <v>10300975.716</v>
      </c>
      <c r="G25" s="1282"/>
      <c r="H25" s="1282"/>
      <c r="I25" s="1282"/>
      <c r="J25" s="1282">
        <v>11779621.3767932</v>
      </c>
      <c r="K25" s="1281">
        <v>12775984.806764839</v>
      </c>
      <c r="L25" s="1281">
        <v>13868178.758330651</v>
      </c>
      <c r="M25" s="1281">
        <v>15076673.315667324</v>
      </c>
    </row>
    <row r="26" spans="1:14">
      <c r="A26" s="1267">
        <v>3</v>
      </c>
      <c r="B26" s="1836" t="s">
        <v>146</v>
      </c>
      <c r="C26" s="1836"/>
      <c r="D26" s="1836"/>
      <c r="E26" s="1284"/>
      <c r="F26" s="1284"/>
      <c r="G26" s="1284"/>
      <c r="H26" s="1284"/>
      <c r="I26" s="1284"/>
      <c r="J26" s="1284"/>
      <c r="K26" s="1284"/>
      <c r="L26" s="1284"/>
      <c r="M26" s="1284"/>
    </row>
    <row r="27" spans="1:14">
      <c r="A27" s="1267"/>
      <c r="B27" s="1836" t="s">
        <v>1034</v>
      </c>
      <c r="C27" s="1836"/>
      <c r="D27" s="1836"/>
      <c r="E27" s="1284"/>
      <c r="F27" s="1284"/>
      <c r="G27" s="1284"/>
      <c r="H27" s="1284"/>
      <c r="I27" s="1284"/>
      <c r="J27" s="1284"/>
      <c r="K27" s="1284"/>
      <c r="L27" s="1284"/>
      <c r="M27" s="1284"/>
    </row>
    <row r="28" spans="1:14">
      <c r="A28" s="1267"/>
      <c r="B28" s="1836" t="s">
        <v>1035</v>
      </c>
      <c r="C28" s="1836"/>
      <c r="D28" s="1836"/>
      <c r="E28" s="1284"/>
      <c r="F28" s="1284"/>
      <c r="G28" s="1284"/>
      <c r="H28" s="1284"/>
      <c r="I28" s="1284"/>
      <c r="J28" s="1284"/>
      <c r="K28" s="1284"/>
      <c r="L28" s="1284"/>
      <c r="M28" s="1284"/>
    </row>
    <row r="29" spans="1:14" ht="40.5" customHeight="1">
      <c r="A29" s="1267" t="s">
        <v>142</v>
      </c>
      <c r="B29" s="1837" t="s">
        <v>1032</v>
      </c>
      <c r="C29" s="1836"/>
      <c r="D29" s="1836"/>
      <c r="E29" s="1284"/>
      <c r="F29" s="1284"/>
      <c r="G29" s="1284"/>
      <c r="H29" s="1284"/>
      <c r="I29" s="1284"/>
      <c r="J29" s="1284"/>
      <c r="K29" s="1284"/>
      <c r="L29" s="1284"/>
      <c r="M29" s="1284"/>
    </row>
    <row r="30" spans="1:14">
      <c r="A30" s="1267">
        <v>1</v>
      </c>
      <c r="B30" s="1838" t="s">
        <v>1104</v>
      </c>
      <c r="C30" s="1838"/>
      <c r="D30" s="1838"/>
      <c r="E30" s="1284"/>
      <c r="F30" s="1284">
        <v>100</v>
      </c>
      <c r="G30" s="1284"/>
      <c r="H30" s="1284"/>
      <c r="I30" s="1284"/>
      <c r="J30" s="1284">
        <v>100</v>
      </c>
      <c r="K30" s="1284">
        <v>100</v>
      </c>
      <c r="L30" s="1284">
        <v>100</v>
      </c>
      <c r="M30" s="1284">
        <v>100</v>
      </c>
      <c r="N30" s="1286"/>
    </row>
    <row r="31" spans="1:14">
      <c r="A31" s="1267">
        <v>2</v>
      </c>
      <c r="B31" s="1836"/>
      <c r="C31" s="1836"/>
      <c r="D31" s="1836"/>
      <c r="E31" s="1284"/>
      <c r="F31" s="1284"/>
      <c r="G31" s="1284"/>
      <c r="H31" s="1284"/>
      <c r="I31" s="1284"/>
      <c r="J31" s="1284"/>
      <c r="K31" s="1284"/>
      <c r="L31" s="1284"/>
      <c r="M31" s="1284"/>
    </row>
    <row r="32" spans="1:14">
      <c r="A32" s="1267"/>
      <c r="B32" s="1836" t="s">
        <v>1033</v>
      </c>
      <c r="C32" s="1836"/>
      <c r="D32" s="1836"/>
      <c r="E32" s="1285">
        <f>SUM(E24:E31)</f>
        <v>10038173</v>
      </c>
      <c r="F32" s="1285">
        <f>SUM(F24:F31)</f>
        <v>20723114.991999999</v>
      </c>
      <c r="G32" s="1285">
        <f>SUM(G24:G31)</f>
        <v>0</v>
      </c>
      <c r="H32" s="1284"/>
      <c r="I32" s="1284"/>
      <c r="J32" s="1285">
        <f>SUM(J24:J31)</f>
        <v>23376143.935575001</v>
      </c>
      <c r="K32" s="1285">
        <f t="shared" ref="K32:M32" si="1">SUM(K24:K31)</f>
        <v>25065267.395632513</v>
      </c>
      <c r="L32" s="1285">
        <f t="shared" si="1"/>
        <v>26915160.04048657</v>
      </c>
      <c r="M32" s="1285">
        <f t="shared" si="1"/>
        <v>28938428.208912484</v>
      </c>
    </row>
    <row r="33" spans="1:14">
      <c r="A33" s="576"/>
      <c r="B33" s="576"/>
      <c r="C33" s="576"/>
      <c r="D33" s="576"/>
      <c r="E33" s="576"/>
      <c r="F33" s="576"/>
      <c r="G33" s="576"/>
      <c r="H33" s="576"/>
      <c r="I33" s="576"/>
      <c r="J33" s="576"/>
      <c r="K33" s="576"/>
      <c r="L33" s="576"/>
      <c r="M33" s="576"/>
    </row>
    <row r="34" spans="1:14">
      <c r="A34" s="576"/>
      <c r="B34" s="576"/>
      <c r="C34" s="576"/>
      <c r="D34" s="576"/>
      <c r="E34" s="576"/>
      <c r="F34" s="576"/>
      <c r="G34" s="576"/>
      <c r="H34" s="576"/>
      <c r="I34" s="576"/>
      <c r="J34" s="576"/>
      <c r="K34" s="576"/>
      <c r="L34" s="576"/>
      <c r="M34" s="576"/>
    </row>
    <row r="35" spans="1:14">
      <c r="A35" s="1848" t="s">
        <v>1169</v>
      </c>
      <c r="B35" s="1849"/>
      <c r="C35" s="1849"/>
      <c r="D35" s="1849"/>
      <c r="E35" s="1849"/>
      <c r="F35" s="1849"/>
      <c r="G35" s="1849"/>
      <c r="H35" s="1849"/>
      <c r="I35" s="1849"/>
      <c r="J35" s="1849"/>
      <c r="K35" s="1849"/>
      <c r="L35" s="1849"/>
      <c r="M35" s="1850"/>
    </row>
    <row r="36" spans="1:14" ht="15.75" customHeight="1">
      <c r="A36" s="1832"/>
      <c r="B36" s="1834" t="s">
        <v>1028</v>
      </c>
      <c r="C36" s="1834"/>
      <c r="D36" s="1834"/>
      <c r="E36" s="1822" t="s">
        <v>1846</v>
      </c>
      <c r="F36" s="1823"/>
      <c r="G36" s="1824" t="s">
        <v>1847</v>
      </c>
      <c r="H36" s="1825"/>
      <c r="I36" s="1825"/>
      <c r="J36" s="1826"/>
      <c r="K36" s="1829" t="s">
        <v>1159</v>
      </c>
      <c r="L36" s="1830"/>
      <c r="M36" s="1831"/>
    </row>
    <row r="37" spans="1:14" ht="31.5">
      <c r="A37" s="1833"/>
      <c r="B37" s="1835"/>
      <c r="C37" s="1835"/>
      <c r="D37" s="1835"/>
      <c r="E37" s="1238" t="s">
        <v>1160</v>
      </c>
      <c r="F37" s="282" t="s">
        <v>230</v>
      </c>
      <c r="G37" s="1238" t="s">
        <v>1160</v>
      </c>
      <c r="H37" s="1238" t="s">
        <v>1163</v>
      </c>
      <c r="I37" s="1238" t="s">
        <v>1164</v>
      </c>
      <c r="J37" s="1256" t="s">
        <v>1165</v>
      </c>
      <c r="K37" s="1279" t="s">
        <v>1841</v>
      </c>
      <c r="L37" s="1279" t="s">
        <v>1842</v>
      </c>
      <c r="M37" s="1279" t="s">
        <v>1843</v>
      </c>
    </row>
    <row r="38" spans="1:14">
      <c r="A38" s="1280" t="s">
        <v>137</v>
      </c>
      <c r="B38" s="1833" t="s">
        <v>1029</v>
      </c>
      <c r="C38" s="1833"/>
      <c r="D38" s="1833"/>
      <c r="E38" s="1280"/>
      <c r="F38" s="1280"/>
      <c r="G38" s="1280"/>
      <c r="H38" s="1280"/>
      <c r="I38" s="1280"/>
      <c r="J38" s="1280"/>
      <c r="K38" s="1280"/>
      <c r="L38" s="1280"/>
      <c r="M38" s="1280"/>
    </row>
    <row r="39" spans="1:14" ht="31.5" customHeight="1">
      <c r="A39" s="1267">
        <v>1</v>
      </c>
      <c r="B39" s="1837" t="s">
        <v>1030</v>
      </c>
      <c r="C39" s="1836"/>
      <c r="D39" s="1836"/>
      <c r="E39" s="1280"/>
      <c r="F39" s="1282">
        <f>5932*46%</f>
        <v>2728.7200000000003</v>
      </c>
      <c r="G39" s="1149"/>
      <c r="H39" s="1149"/>
      <c r="I39" s="1149"/>
      <c r="J39" s="1282">
        <f>6627*46%</f>
        <v>3048.42</v>
      </c>
      <c r="K39" s="1282">
        <f>7054*46%</f>
        <v>3244.84</v>
      </c>
      <c r="L39" s="1282">
        <f>7521*46%</f>
        <v>3459.6600000000003</v>
      </c>
      <c r="M39" s="1282">
        <f>8003*46%</f>
        <v>3681.38</v>
      </c>
      <c r="N39" s="1286"/>
    </row>
    <row r="40" spans="1:14" ht="31.5" customHeight="1">
      <c r="A40" s="1267">
        <v>2</v>
      </c>
      <c r="B40" s="1837" t="s">
        <v>1031</v>
      </c>
      <c r="C40" s="1836"/>
      <c r="D40" s="1836"/>
      <c r="E40" s="1280"/>
      <c r="F40" s="1282">
        <f>5932*54%</f>
        <v>3203.28</v>
      </c>
      <c r="G40" s="1149"/>
      <c r="H40" s="1149"/>
      <c r="I40" s="1149"/>
      <c r="J40" s="1282">
        <f>6627*54%</f>
        <v>3578.5800000000004</v>
      </c>
      <c r="K40" s="1282">
        <f>7054*54%</f>
        <v>3809.1600000000003</v>
      </c>
      <c r="L40" s="1282">
        <f>7521*54%</f>
        <v>4061.34</v>
      </c>
      <c r="M40" s="1282">
        <f>8003*54%</f>
        <v>4321.62</v>
      </c>
    </row>
    <row r="41" spans="1:14">
      <c r="A41" s="1280">
        <v>3</v>
      </c>
      <c r="B41" s="1836" t="s">
        <v>146</v>
      </c>
      <c r="C41" s="1836"/>
      <c r="D41" s="1836"/>
      <c r="E41" s="1280"/>
      <c r="F41" s="1280"/>
      <c r="G41" s="1280"/>
      <c r="H41" s="1280"/>
      <c r="I41" s="1280"/>
      <c r="J41" s="1280"/>
      <c r="K41" s="1280"/>
      <c r="L41" s="1280"/>
      <c r="M41" s="1280"/>
    </row>
    <row r="42" spans="1:14">
      <c r="A42" s="1280"/>
      <c r="B42" s="1836"/>
      <c r="C42" s="1836"/>
      <c r="D42" s="1836"/>
      <c r="E42" s="1280"/>
      <c r="F42" s="1280"/>
      <c r="G42" s="1280"/>
      <c r="H42" s="1280"/>
      <c r="I42" s="1280"/>
      <c r="J42" s="1280"/>
      <c r="K42" s="1280"/>
      <c r="L42" s="1280"/>
      <c r="M42" s="1280"/>
    </row>
    <row r="43" spans="1:14">
      <c r="A43" s="1280"/>
      <c r="B43" s="1836"/>
      <c r="C43" s="1836"/>
      <c r="D43" s="1836"/>
      <c r="E43" s="1280"/>
      <c r="F43" s="1280"/>
      <c r="G43" s="1280"/>
      <c r="H43" s="1280"/>
      <c r="I43" s="1280"/>
      <c r="J43" s="1280"/>
      <c r="K43" s="1280"/>
      <c r="L43" s="1280"/>
      <c r="M43" s="1280"/>
    </row>
    <row r="44" spans="1:14" ht="35.25" customHeight="1">
      <c r="A44" s="1267" t="s">
        <v>142</v>
      </c>
      <c r="B44" s="1837" t="s">
        <v>1032</v>
      </c>
      <c r="C44" s="1836"/>
      <c r="D44" s="1836"/>
      <c r="E44" s="1280"/>
      <c r="F44" s="403"/>
      <c r="G44" s="403"/>
      <c r="H44" s="403"/>
      <c r="I44" s="403"/>
      <c r="J44" s="403"/>
      <c r="K44" s="403"/>
      <c r="L44" s="403"/>
      <c r="M44" s="403"/>
    </row>
    <row r="45" spans="1:14">
      <c r="A45" s="1280">
        <v>1</v>
      </c>
      <c r="B45" s="1838" t="s">
        <v>1104</v>
      </c>
      <c r="C45" s="1838"/>
      <c r="D45" s="1838"/>
      <c r="E45" s="1280"/>
      <c r="F45" s="1284">
        <v>100</v>
      </c>
      <c r="G45" s="1285"/>
      <c r="H45" s="1285"/>
      <c r="I45" s="1285"/>
      <c r="J45" s="1284">
        <v>100</v>
      </c>
      <c r="K45" s="1284">
        <v>100</v>
      </c>
      <c r="L45" s="1284">
        <v>100</v>
      </c>
      <c r="M45" s="1284">
        <v>100</v>
      </c>
    </row>
    <row r="46" spans="1:14">
      <c r="A46" s="1280">
        <v>2</v>
      </c>
      <c r="B46" s="1836"/>
      <c r="C46" s="1836"/>
      <c r="D46" s="1836"/>
      <c r="E46" s="1280"/>
      <c r="F46" s="1280"/>
      <c r="G46" s="1280"/>
      <c r="H46" s="1280"/>
      <c r="I46" s="1280"/>
      <c r="J46" s="1280"/>
      <c r="K46" s="1280"/>
      <c r="L46" s="1280"/>
      <c r="M46" s="1280"/>
    </row>
    <row r="47" spans="1:14">
      <c r="A47" s="1280"/>
      <c r="B47" s="1836" t="s">
        <v>1033</v>
      </c>
      <c r="C47" s="1836"/>
      <c r="D47" s="1836"/>
      <c r="E47" s="1280"/>
      <c r="F47" s="1288">
        <f>F39+F45+F40</f>
        <v>6032</v>
      </c>
      <c r="G47" s="1280"/>
      <c r="H47" s="1280"/>
      <c r="I47" s="1280"/>
      <c r="J47" s="1288">
        <f>J39+J45+J40</f>
        <v>6727</v>
      </c>
      <c r="K47" s="1288">
        <f>K39+K45+K40</f>
        <v>7154</v>
      </c>
      <c r="L47" s="1288">
        <f t="shared" ref="L47:M47" si="2">L39+L45+L40</f>
        <v>7621</v>
      </c>
      <c r="M47" s="1288">
        <f t="shared" si="2"/>
        <v>8103</v>
      </c>
    </row>
    <row r="48" spans="1:14">
      <c r="A48" s="577"/>
      <c r="B48" s="577"/>
      <c r="C48" s="577"/>
      <c r="D48" s="577"/>
      <c r="E48" s="577"/>
      <c r="F48" s="577"/>
      <c r="G48" s="577"/>
      <c r="H48" s="577"/>
      <c r="I48" s="577"/>
      <c r="J48" s="577"/>
      <c r="K48" s="577"/>
      <c r="L48" s="577"/>
      <c r="M48" s="577"/>
    </row>
    <row r="51" spans="10:13" ht="16.5">
      <c r="J51" s="1763" t="s">
        <v>401</v>
      </c>
      <c r="K51" s="1763"/>
      <c r="L51" s="1763"/>
      <c r="M51" s="1763"/>
    </row>
  </sheetData>
  <mergeCells count="52">
    <mergeCell ref="B45:D45"/>
    <mergeCell ref="B46:D46"/>
    <mergeCell ref="B47:D47"/>
    <mergeCell ref="B40:D40"/>
    <mergeCell ref="B41:D41"/>
    <mergeCell ref="B42:D42"/>
    <mergeCell ref="B43:D43"/>
    <mergeCell ref="B44:D44"/>
    <mergeCell ref="B38:D38"/>
    <mergeCell ref="B39:D39"/>
    <mergeCell ref="A35:M35"/>
    <mergeCell ref="K36:M36"/>
    <mergeCell ref="B17:D17"/>
    <mergeCell ref="A20:M20"/>
    <mergeCell ref="B23:D23"/>
    <mergeCell ref="B24:D24"/>
    <mergeCell ref="B25:D25"/>
    <mergeCell ref="K21:M21"/>
    <mergeCell ref="B12:D12"/>
    <mergeCell ref="B13:D13"/>
    <mergeCell ref="B14:D14"/>
    <mergeCell ref="B15:D15"/>
    <mergeCell ref="B16:D16"/>
    <mergeCell ref="B9:D9"/>
    <mergeCell ref="B10:D10"/>
    <mergeCell ref="B11:D11"/>
    <mergeCell ref="A1:M1"/>
    <mergeCell ref="A3:J3"/>
    <mergeCell ref="L3:M3"/>
    <mergeCell ref="B8:D8"/>
    <mergeCell ref="A5:M5"/>
    <mergeCell ref="B6:D7"/>
    <mergeCell ref="E6:F6"/>
    <mergeCell ref="A6:A7"/>
    <mergeCell ref="G6:J6"/>
    <mergeCell ref="K6:M6"/>
    <mergeCell ref="J51:M51"/>
    <mergeCell ref="A21:A22"/>
    <mergeCell ref="B21:D22"/>
    <mergeCell ref="E21:F21"/>
    <mergeCell ref="G21:J21"/>
    <mergeCell ref="A36:A37"/>
    <mergeCell ref="B36:D37"/>
    <mergeCell ref="E36:F36"/>
    <mergeCell ref="G36:J36"/>
    <mergeCell ref="B26:D26"/>
    <mergeCell ref="B27:D27"/>
    <mergeCell ref="B28:D28"/>
    <mergeCell ref="B29:D29"/>
    <mergeCell ref="B30:D30"/>
    <mergeCell ref="B31:D31"/>
    <mergeCell ref="B32:D32"/>
  </mergeCells>
  <pageMargins left="0.35433070866141736" right="0.19685039370078741" top="0.74803149606299213" bottom="0.74803149606299213" header="0.31496062992125984" footer="0.31496062992125984"/>
  <pageSetup paperSize="9" scale="5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fitToPage="1"/>
  </sheetPr>
  <dimension ref="A1:N40"/>
  <sheetViews>
    <sheetView showGridLines="0" view="pageBreakPreview" topLeftCell="B1" zoomScale="70" zoomScaleNormal="80" zoomScaleSheetLayoutView="70" workbookViewId="0">
      <pane xSplit="1" ySplit="1" topLeftCell="C20" activePane="bottomRight" state="frozen"/>
      <selection activeCell="B1" sqref="B1"/>
      <selection pane="topRight" activeCell="C1" sqref="C1"/>
      <selection pane="bottomLeft" activeCell="B2" sqref="B2"/>
      <selection pane="bottomRight" activeCell="E38" sqref="E38"/>
    </sheetView>
  </sheetViews>
  <sheetFormatPr defaultColWidth="9.140625" defaultRowHeight="15.75"/>
  <cols>
    <col min="1" max="1" width="8.28515625" style="255" customWidth="1"/>
    <col min="2" max="2" width="41.7109375" style="255" customWidth="1"/>
    <col min="3" max="3" width="17.42578125" style="255" bestFit="1" customWidth="1"/>
    <col min="4" max="4" width="17.5703125" style="255" customWidth="1"/>
    <col min="5" max="5" width="15.5703125" style="255" customWidth="1"/>
    <col min="6" max="6" width="10.7109375" style="255" hidden="1" customWidth="1"/>
    <col min="7" max="7" width="15" style="255" hidden="1" customWidth="1"/>
    <col min="8" max="8" width="17" style="255" customWidth="1"/>
    <col min="9" max="9" width="15.85546875" style="255" bestFit="1" customWidth="1"/>
    <col min="10" max="10" width="15.85546875" style="255" customWidth="1"/>
    <col min="11" max="11" width="16.5703125" style="255" customWidth="1"/>
    <col min="12" max="16384" width="9.140625" style="255"/>
  </cols>
  <sheetData>
    <row r="1" spans="1:12" ht="21" customHeight="1">
      <c r="A1" s="1853" t="s">
        <v>1158</v>
      </c>
      <c r="B1" s="1854"/>
      <c r="C1" s="1854"/>
      <c r="D1" s="1854"/>
      <c r="E1" s="1854"/>
      <c r="F1" s="1854"/>
      <c r="G1" s="1854"/>
      <c r="H1" s="1854"/>
      <c r="I1" s="1854"/>
      <c r="J1" s="1854"/>
      <c r="K1" s="1854"/>
    </row>
    <row r="2" spans="1:12" ht="21" customHeight="1">
      <c r="A2" s="1858" t="s">
        <v>559</v>
      </c>
      <c r="B2" s="1858"/>
      <c r="C2" s="383"/>
      <c r="D2" s="383"/>
      <c r="E2" s="383"/>
      <c r="F2" s="383"/>
      <c r="G2" s="383"/>
      <c r="H2" s="383"/>
      <c r="I2" s="383"/>
      <c r="J2" s="383" t="s">
        <v>410</v>
      </c>
      <c r="K2" s="383"/>
    </row>
    <row r="3" spans="1:12" ht="21" customHeight="1">
      <c r="A3" s="1857" t="s">
        <v>558</v>
      </c>
      <c r="B3" s="1857"/>
      <c r="C3" s="1857"/>
      <c r="D3" s="1857"/>
      <c r="E3" s="1857"/>
      <c r="F3" s="1857"/>
      <c r="G3" s="1857"/>
      <c r="H3" s="1857"/>
      <c r="I3" s="801"/>
      <c r="J3" s="1856" t="s">
        <v>320</v>
      </c>
      <c r="K3" s="1856"/>
    </row>
    <row r="4" spans="1:12" ht="29.25" customHeight="1">
      <c r="A4" s="1855"/>
      <c r="B4" s="1820" t="s">
        <v>48</v>
      </c>
      <c r="C4" s="1829" t="s">
        <v>1850</v>
      </c>
      <c r="D4" s="1831"/>
      <c r="E4" s="1824" t="s">
        <v>1870</v>
      </c>
      <c r="F4" s="1825"/>
      <c r="G4" s="1825"/>
      <c r="H4" s="1826"/>
      <c r="I4" s="1829" t="s">
        <v>1848</v>
      </c>
      <c r="J4" s="1830"/>
      <c r="K4" s="1831"/>
      <c r="L4" s="297"/>
    </row>
    <row r="5" spans="1:12" ht="31.5">
      <c r="A5" s="1855"/>
      <c r="B5" s="1820"/>
      <c r="C5" s="361" t="s">
        <v>1160</v>
      </c>
      <c r="D5" s="827" t="s">
        <v>230</v>
      </c>
      <c r="E5" s="361" t="s">
        <v>1160</v>
      </c>
      <c r="F5" s="361" t="s">
        <v>1163</v>
      </c>
      <c r="G5" s="361" t="s">
        <v>1164</v>
      </c>
      <c r="H5" s="363" t="s">
        <v>1165</v>
      </c>
      <c r="I5" s="87" t="s">
        <v>1841</v>
      </c>
      <c r="J5" s="87" t="s">
        <v>1842</v>
      </c>
      <c r="K5" s="87" t="s">
        <v>1843</v>
      </c>
      <c r="L5" s="297"/>
    </row>
    <row r="6" spans="1:12" ht="21" customHeight="1">
      <c r="A6" s="128" t="s">
        <v>137</v>
      </c>
      <c r="B6" s="129" t="s">
        <v>138</v>
      </c>
      <c r="C6" s="123"/>
      <c r="D6" s="123"/>
      <c r="E6" s="123"/>
      <c r="F6" s="123"/>
      <c r="G6" s="123"/>
      <c r="H6" s="123"/>
      <c r="I6" s="123"/>
      <c r="J6" s="123"/>
      <c r="K6" s="123"/>
      <c r="L6" s="297"/>
    </row>
    <row r="7" spans="1:12" ht="35.25" customHeight="1">
      <c r="A7" s="60">
        <v>1</v>
      </c>
      <c r="B7" s="75" t="s">
        <v>528</v>
      </c>
      <c r="C7" s="458">
        <f>1292.18*46%</f>
        <v>594.40280000000007</v>
      </c>
      <c r="D7" s="458">
        <f>3904360586/10^7</f>
        <v>390.43605860000002</v>
      </c>
      <c r="E7" s="458">
        <f>E12*46%</f>
        <v>520.11280000000011</v>
      </c>
      <c r="F7" s="298"/>
      <c r="G7" s="298"/>
      <c r="H7" s="828">
        <f>E7</f>
        <v>520.11280000000011</v>
      </c>
      <c r="I7" s="541">
        <f ca="1">'F1'!J43*(6766/6866)*46%</f>
        <v>674.37215707346149</v>
      </c>
      <c r="J7" s="541">
        <f ca="1">'F1'!K43*(6766/6866)*46%</f>
        <v>777.25978423916843</v>
      </c>
      <c r="K7" s="541">
        <f ca="1">'F1'!L43*(6766/6866)*46%</f>
        <v>894.7404203284467</v>
      </c>
      <c r="L7" s="1152"/>
    </row>
    <row r="8" spans="1:12" ht="35.25" customHeight="1">
      <c r="A8" s="60">
        <v>2</v>
      </c>
      <c r="B8" s="75" t="s">
        <v>529</v>
      </c>
      <c r="C8" s="458">
        <f>1292.18*54%</f>
        <v>697.77720000000011</v>
      </c>
      <c r="D8" s="458">
        <f>4583379812/10^7</f>
        <v>458.3379812</v>
      </c>
      <c r="E8" s="458">
        <f>E12*54%</f>
        <v>610.56720000000007</v>
      </c>
      <c r="F8" s="298"/>
      <c r="G8" s="298"/>
      <c r="H8" s="828">
        <f>E8</f>
        <v>610.56720000000007</v>
      </c>
      <c r="I8" s="541">
        <f ca="1">'F1'!J43*(6766/6866)*54%</f>
        <v>791.65427134710706</v>
      </c>
      <c r="J8" s="541">
        <f ca="1">'F1'!K43*(6766/6866)*54%</f>
        <v>912.43539888945861</v>
      </c>
      <c r="K8" s="541">
        <f ca="1">'F1'!L43*(6766/6866)*54%</f>
        <v>1050.3474499507852</v>
      </c>
      <c r="L8" s="1152"/>
    </row>
    <row r="9" spans="1:12" ht="21" customHeight="1">
      <c r="A9" s="60">
        <v>3</v>
      </c>
      <c r="B9" s="75" t="s">
        <v>1869</v>
      </c>
      <c r="C9" s="300"/>
      <c r="D9" s="299"/>
      <c r="E9" s="299"/>
      <c r="F9" s="299"/>
      <c r="G9" s="299"/>
      <c r="H9" s="299"/>
      <c r="I9" s="299"/>
      <c r="J9" s="299"/>
      <c r="K9" s="299"/>
      <c r="L9" s="297"/>
    </row>
    <row r="10" spans="1:12" ht="21" customHeight="1">
      <c r="A10" s="77"/>
      <c r="B10" s="151" t="s">
        <v>140</v>
      </c>
      <c r="C10" s="298"/>
      <c r="D10" s="298"/>
      <c r="E10" s="298"/>
      <c r="F10" s="298"/>
      <c r="G10" s="298"/>
      <c r="H10" s="298"/>
      <c r="I10" s="298"/>
      <c r="J10" s="298"/>
      <c r="K10" s="298"/>
      <c r="L10" s="297"/>
    </row>
    <row r="11" spans="1:12" ht="21" customHeight="1">
      <c r="A11" s="77"/>
      <c r="B11" s="151" t="s">
        <v>1262</v>
      </c>
      <c r="C11" s="301"/>
      <c r="D11" s="541"/>
      <c r="E11" s="301"/>
      <c r="F11" s="301"/>
      <c r="G11" s="301"/>
      <c r="H11" s="301"/>
      <c r="I11" s="301"/>
      <c r="J11" s="301"/>
      <c r="K11" s="301"/>
      <c r="L11" s="297"/>
    </row>
    <row r="12" spans="1:12" ht="21" customHeight="1" thickBot="1">
      <c r="A12" s="77"/>
      <c r="B12" s="302" t="s">
        <v>147</v>
      </c>
      <c r="C12" s="540">
        <v>1292.18</v>
      </c>
      <c r="D12" s="540">
        <f>SUM(D7:D11)</f>
        <v>848.77403980000008</v>
      </c>
      <c r="E12" s="540">
        <v>1130.68</v>
      </c>
      <c r="F12" s="303"/>
      <c r="G12" s="303"/>
      <c r="H12" s="540">
        <f>SUM(H7:H11)</f>
        <v>1130.6800000000003</v>
      </c>
      <c r="I12" s="540">
        <f t="shared" ref="I12:K12" ca="1" si="0">SUM(I7:I11)</f>
        <v>1466.0264284205687</v>
      </c>
      <c r="J12" s="540">
        <f t="shared" ca="1" si="0"/>
        <v>1689.6951831286269</v>
      </c>
      <c r="K12" s="540">
        <f t="shared" ca="1" si="0"/>
        <v>1945.087870279232</v>
      </c>
      <c r="L12" s="297"/>
    </row>
    <row r="13" spans="1:12" ht="21" hidden="1" customHeight="1" thickBot="1">
      <c r="A13" s="77"/>
      <c r="B13" s="304"/>
      <c r="C13" s="304"/>
      <c r="D13" s="304"/>
      <c r="E13" s="304"/>
      <c r="F13" s="304"/>
      <c r="G13" s="304"/>
      <c r="H13" s="304"/>
      <c r="I13" s="304"/>
      <c r="J13" s="304"/>
      <c r="K13" s="304"/>
      <c r="L13" s="297"/>
    </row>
    <row r="14" spans="1:12" ht="31.5" customHeight="1">
      <c r="A14" s="128" t="s">
        <v>142</v>
      </c>
      <c r="B14" s="129" t="s">
        <v>144</v>
      </c>
      <c r="C14" s="256"/>
      <c r="D14" s="256"/>
      <c r="E14" s="256"/>
      <c r="F14" s="256"/>
      <c r="G14" s="256"/>
      <c r="H14" s="256"/>
      <c r="I14" s="256"/>
      <c r="J14" s="256"/>
      <c r="K14" s="256"/>
      <c r="L14" s="297"/>
    </row>
    <row r="15" spans="1:12" ht="21" customHeight="1">
      <c r="A15" s="249">
        <v>1</v>
      </c>
      <c r="B15" s="1153" t="s">
        <v>1104</v>
      </c>
      <c r="C15" s="300"/>
      <c r="D15" s="299">
        <f>221259600/10^7</f>
        <v>22.125959999999999</v>
      </c>
      <c r="E15" s="300"/>
      <c r="F15" s="300"/>
      <c r="G15" s="300"/>
      <c r="H15" s="300">
        <v>0</v>
      </c>
      <c r="I15" s="300">
        <f ca="1">'F1'!J43-I12</f>
        <v>21.667549932316888</v>
      </c>
      <c r="J15" s="300">
        <f ca="1">'F1'!K43-J12</f>
        <v>24.973325201428224</v>
      </c>
      <c r="K15" s="300">
        <f ca="1">'F1'!L43-K12</f>
        <v>28.747973252722659</v>
      </c>
      <c r="L15" s="297"/>
    </row>
    <row r="16" spans="1:12" ht="21" customHeight="1">
      <c r="A16" s="249">
        <v>2</v>
      </c>
      <c r="B16" s="305"/>
      <c r="C16" s="300"/>
      <c r="D16" s="300"/>
      <c r="E16" s="300"/>
      <c r="F16" s="300"/>
      <c r="G16" s="300"/>
      <c r="H16" s="300"/>
      <c r="I16" s="300"/>
      <c r="J16" s="300"/>
      <c r="K16" s="300"/>
      <c r="L16" s="297"/>
    </row>
    <row r="17" spans="1:12" ht="21" customHeight="1" thickBot="1">
      <c r="A17" s="306"/>
      <c r="B17" s="302" t="s">
        <v>147</v>
      </c>
      <c r="C17" s="307">
        <f>C15</f>
        <v>0</v>
      </c>
      <c r="D17" s="307">
        <f>D15</f>
        <v>22.125959999999999</v>
      </c>
      <c r="E17" s="307">
        <f>E15</f>
        <v>0</v>
      </c>
      <c r="F17" s="307"/>
      <c r="G17" s="307"/>
      <c r="H17" s="307">
        <f>H15</f>
        <v>0</v>
      </c>
      <c r="I17" s="307">
        <f ca="1">I15</f>
        <v>21.667549932316888</v>
      </c>
      <c r="J17" s="307">
        <f t="shared" ref="J17:K17" ca="1" si="1">J15</f>
        <v>24.973325201428224</v>
      </c>
      <c r="K17" s="307">
        <f t="shared" ca="1" si="1"/>
        <v>28.747973252722659</v>
      </c>
      <c r="L17" s="297"/>
    </row>
    <row r="18" spans="1:12" ht="21" customHeight="1" thickBot="1">
      <c r="A18" s="308"/>
      <c r="B18" s="308" t="s">
        <v>271</v>
      </c>
      <c r="C18" s="309">
        <f>C12+C17</f>
        <v>1292.18</v>
      </c>
      <c r="D18" s="309">
        <f>D12+D17</f>
        <v>870.89999980000005</v>
      </c>
      <c r="E18" s="309">
        <f>E12+E17</f>
        <v>1130.68</v>
      </c>
      <c r="F18" s="309"/>
      <c r="G18" s="309"/>
      <c r="H18" s="309">
        <f>H12+H17</f>
        <v>1130.6800000000003</v>
      </c>
      <c r="I18" s="309">
        <f ca="1">I12+I17</f>
        <v>1487.6939783528856</v>
      </c>
      <c r="J18" s="309">
        <f ca="1">J12+J17</f>
        <v>1714.6685083300551</v>
      </c>
      <c r="K18" s="309">
        <f ca="1">K12+K17</f>
        <v>1973.8358435319547</v>
      </c>
      <c r="L18" s="297"/>
    </row>
    <row r="19" spans="1:12" ht="21" customHeight="1" thickTop="1">
      <c r="A19" s="404"/>
      <c r="B19" s="404"/>
      <c r="C19" s="405"/>
      <c r="D19" s="405"/>
      <c r="E19" s="405"/>
      <c r="F19" s="405"/>
      <c r="G19" s="405"/>
      <c r="H19" s="405"/>
      <c r="I19" s="405"/>
      <c r="J19" s="405"/>
      <c r="K19" s="405"/>
      <c r="L19" s="297"/>
    </row>
    <row r="20" spans="1:12" ht="21" customHeight="1">
      <c r="A20" s="310" t="s">
        <v>1561</v>
      </c>
      <c r="B20" s="297"/>
      <c r="C20" s="297"/>
      <c r="D20" s="297"/>
      <c r="E20" s="297"/>
      <c r="F20" s="297"/>
      <c r="G20" s="297"/>
      <c r="H20" s="297"/>
      <c r="I20" s="297"/>
      <c r="J20" s="297"/>
      <c r="L20" s="297"/>
    </row>
    <row r="21" spans="1:12" ht="45" customHeight="1">
      <c r="A21" s="1851"/>
      <c r="B21" s="1852"/>
      <c r="C21" s="1829" t="s">
        <v>1170</v>
      </c>
      <c r="D21" s="1830"/>
      <c r="E21" s="1831"/>
      <c r="F21" s="297"/>
    </row>
    <row r="22" spans="1:12" ht="21" customHeight="1">
      <c r="A22" s="1851"/>
      <c r="B22" s="1852"/>
      <c r="C22" s="87" t="s">
        <v>1841</v>
      </c>
      <c r="D22" s="87" t="s">
        <v>1842</v>
      </c>
      <c r="E22" s="87" t="s">
        <v>1843</v>
      </c>
      <c r="F22" s="297"/>
    </row>
    <row r="23" spans="1:12">
      <c r="A23" s="128" t="s">
        <v>137</v>
      </c>
      <c r="B23" s="129" t="s">
        <v>138</v>
      </c>
      <c r="C23" s="829"/>
      <c r="D23" s="301"/>
      <c r="E23" s="249"/>
    </row>
    <row r="24" spans="1:12" ht="31.5">
      <c r="A24" s="77">
        <v>1</v>
      </c>
      <c r="B24" s="75" t="s">
        <v>528</v>
      </c>
      <c r="C24" s="830">
        <f ca="1">'F1'!J47*('F3'!K39/'F3'!K47)</f>
        <v>630.69217671988929</v>
      </c>
      <c r="D24" s="301"/>
      <c r="E24" s="249"/>
    </row>
    <row r="25" spans="1:12" ht="31.5">
      <c r="A25" s="77">
        <v>2</v>
      </c>
      <c r="B25" s="75" t="s">
        <v>529</v>
      </c>
      <c r="C25" s="830">
        <f ca="1">'F1'!J47*('F3'!K40/'F3'!K47)</f>
        <v>740.3777726711744</v>
      </c>
      <c r="D25" s="301"/>
      <c r="E25" s="249"/>
    </row>
    <row r="26" spans="1:12">
      <c r="A26" s="77">
        <v>3</v>
      </c>
      <c r="B26" s="249"/>
      <c r="C26" s="831"/>
      <c r="D26" s="301"/>
      <c r="E26" s="249"/>
    </row>
    <row r="27" spans="1:12">
      <c r="A27" s="77"/>
      <c r="B27" s="151" t="s">
        <v>140</v>
      </c>
      <c r="C27" s="832"/>
      <c r="D27" s="301"/>
      <c r="E27" s="249"/>
    </row>
    <row r="28" spans="1:12">
      <c r="A28" s="77"/>
      <c r="B28" s="151" t="s">
        <v>141</v>
      </c>
      <c r="C28" s="833"/>
      <c r="D28" s="301"/>
      <c r="E28" s="249"/>
    </row>
    <row r="29" spans="1:12" ht="16.5" thickBot="1">
      <c r="A29" s="77"/>
      <c r="B29" s="302" t="s">
        <v>147</v>
      </c>
      <c r="C29" s="1154">
        <f ca="1">C24+C25</f>
        <v>1371.0699493910638</v>
      </c>
      <c r="D29" s="301"/>
      <c r="E29" s="249"/>
      <c r="H29" s="1158">
        <f ca="1">C29/12</f>
        <v>114.25582911592198</v>
      </c>
    </row>
    <row r="30" spans="1:12" ht="31.5">
      <c r="A30" s="128" t="s">
        <v>142</v>
      </c>
      <c r="B30" s="129" t="s">
        <v>144</v>
      </c>
      <c r="C30" s="829"/>
      <c r="D30" s="301"/>
      <c r="E30" s="249"/>
    </row>
    <row r="31" spans="1:12">
      <c r="A31" s="77">
        <v>1</v>
      </c>
      <c r="B31" s="75" t="s">
        <v>1104</v>
      </c>
      <c r="C31" s="830">
        <f ca="1">'F1'!J47*('F3'!K45/'F3'!K47)</f>
        <v>19.436772744415421</v>
      </c>
      <c r="D31" s="301"/>
      <c r="E31" s="249"/>
      <c r="H31" s="1158">
        <f ca="1">C31/12</f>
        <v>1.6197310620346184</v>
      </c>
    </row>
    <row r="32" spans="1:12">
      <c r="A32" s="77">
        <v>2</v>
      </c>
      <c r="B32" s="305"/>
      <c r="C32" s="835"/>
      <c r="D32" s="301"/>
      <c r="E32" s="249"/>
    </row>
    <row r="33" spans="1:14" ht="16.5" thickBot="1">
      <c r="A33" s="311"/>
      <c r="B33" s="302" t="s">
        <v>147</v>
      </c>
      <c r="C33" s="1154">
        <f ca="1">C31</f>
        <v>19.436772744415421</v>
      </c>
      <c r="D33" s="301"/>
      <c r="E33" s="249"/>
    </row>
    <row r="34" spans="1:14" ht="16.5" thickBot="1">
      <c r="A34" s="312"/>
      <c r="B34" s="313" t="s">
        <v>271</v>
      </c>
      <c r="C34" s="1155">
        <f ca="1">C29+C33</f>
        <v>1390.5067221354793</v>
      </c>
      <c r="D34" s="301"/>
      <c r="E34" s="249"/>
    </row>
    <row r="35" spans="1:14" ht="16.5" thickTop="1">
      <c r="A35" s="314" t="s">
        <v>375</v>
      </c>
      <c r="B35" s="314" t="s">
        <v>376</v>
      </c>
      <c r="C35" s="834"/>
      <c r="D35" s="301"/>
      <c r="E35" s="249"/>
    </row>
    <row r="36" spans="1:14">
      <c r="A36" s="312"/>
      <c r="B36" s="312" t="s">
        <v>377</v>
      </c>
      <c r="C36" s="834"/>
      <c r="D36" s="301"/>
      <c r="E36" s="249"/>
    </row>
    <row r="37" spans="1:14">
      <c r="J37" s="297"/>
    </row>
    <row r="38" spans="1:14" ht="31.5">
      <c r="B38" s="1159" t="s">
        <v>2264</v>
      </c>
      <c r="C38" s="1160">
        <f ca="1">'F1'!J47/('F3'!K47*8760)*10^7</f>
        <v>221.88096740200251</v>
      </c>
      <c r="H38" s="1623">
        <f ca="1">C38/1000</f>
        <v>0.2218809674020025</v>
      </c>
      <c r="L38" s="297">
        <f>263/1000</f>
        <v>0.26300000000000001</v>
      </c>
      <c r="M38" s="1667">
        <f>1130.68/(6866*8760)*10^7</f>
        <v>187.98872612981444</v>
      </c>
      <c r="N38" s="1668">
        <f ca="1">C38/M38-1</f>
        <v>0.18028869055043217</v>
      </c>
    </row>
    <row r="40" spans="1:14" ht="16.5">
      <c r="H40" s="1763" t="s">
        <v>401</v>
      </c>
      <c r="I40" s="1763"/>
      <c r="J40" s="1763"/>
      <c r="K40" s="1763"/>
    </row>
  </sheetData>
  <mergeCells count="13">
    <mergeCell ref="H40:K40"/>
    <mergeCell ref="A21:A22"/>
    <mergeCell ref="B21:B22"/>
    <mergeCell ref="A1:K1"/>
    <mergeCell ref="A4:A5"/>
    <mergeCell ref="B4:B5"/>
    <mergeCell ref="C4:D4"/>
    <mergeCell ref="J3:K3"/>
    <mergeCell ref="A3:H3"/>
    <mergeCell ref="E4:H4"/>
    <mergeCell ref="A2:B2"/>
    <mergeCell ref="I4:K4"/>
    <mergeCell ref="C21:E21"/>
  </mergeCells>
  <pageMargins left="0.21" right="0.2" top="0.74803149606299213" bottom="0.74803149606299213" header="0.31496062992125984" footer="0.31496062992125984"/>
  <pageSetup paperSize="9" scale="6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K493"/>
  <sheetViews>
    <sheetView showGridLines="0" view="pageBreakPreview" zoomScale="70" zoomScaleNormal="55" zoomScaleSheetLayoutView="70" workbookViewId="0">
      <selection activeCell="B7" sqref="B7"/>
    </sheetView>
  </sheetViews>
  <sheetFormatPr defaultColWidth="9.140625" defaultRowHeight="15.75"/>
  <cols>
    <col min="1" max="1" width="4.140625" style="98" customWidth="1"/>
    <col min="2" max="2" width="6.28515625" style="147" bestFit="1" customWidth="1"/>
    <col min="3" max="3" width="48.7109375" style="700" customWidth="1"/>
    <col min="4" max="4" width="15.42578125" style="147" customWidth="1"/>
    <col min="5" max="5" width="14.42578125" style="98" bestFit="1" customWidth="1"/>
    <col min="6" max="6" width="17.28515625" style="98" customWidth="1"/>
    <col min="7" max="7" width="12.85546875" style="98" bestFit="1" customWidth="1"/>
    <col min="8" max="8" width="19.85546875" style="98" bestFit="1" customWidth="1"/>
    <col min="9" max="9" width="12.28515625" style="614" bestFit="1" customWidth="1"/>
    <col min="10" max="10" width="19.85546875" style="98" bestFit="1" customWidth="1"/>
    <col min="11" max="11" width="3.7109375" style="98" customWidth="1"/>
    <col min="12" max="16384" width="9.140625" style="98"/>
  </cols>
  <sheetData>
    <row r="1" spans="2:11">
      <c r="J1" s="614"/>
    </row>
    <row r="2" spans="2:11">
      <c r="B2" s="1860" t="s">
        <v>1158</v>
      </c>
      <c r="C2" s="1860"/>
      <c r="D2" s="1860"/>
      <c r="E2" s="1860"/>
      <c r="F2" s="1860"/>
      <c r="G2" s="703"/>
      <c r="H2" s="703"/>
      <c r="I2" s="401"/>
      <c r="J2" s="614"/>
      <c r="K2" s="399"/>
    </row>
    <row r="3" spans="2:11">
      <c r="B3" s="1861" t="s">
        <v>865</v>
      </c>
      <c r="C3" s="1861"/>
      <c r="D3" s="1861"/>
      <c r="E3" s="1861"/>
      <c r="F3" s="1861"/>
      <c r="G3" s="1861"/>
      <c r="H3" s="1861"/>
      <c r="I3" s="400"/>
      <c r="J3" s="401"/>
      <c r="K3" s="399"/>
    </row>
    <row r="4" spans="2:11">
      <c r="B4" s="1862" t="s">
        <v>149</v>
      </c>
      <c r="C4" s="1862"/>
      <c r="D4" s="1862"/>
      <c r="E4" s="1862"/>
      <c r="F4" s="1862"/>
      <c r="G4" s="1862"/>
      <c r="H4" s="1862"/>
      <c r="I4" s="400"/>
      <c r="J4" s="401"/>
      <c r="K4" s="399"/>
    </row>
    <row r="5" spans="2:11" ht="47.25">
      <c r="B5" s="403" t="s">
        <v>150</v>
      </c>
      <c r="C5" s="704" t="s">
        <v>2014</v>
      </c>
      <c r="D5" s="619" t="s">
        <v>959</v>
      </c>
      <c r="E5" s="705" t="s">
        <v>960</v>
      </c>
      <c r="F5" s="705" t="s">
        <v>961</v>
      </c>
      <c r="G5" s="705" t="s">
        <v>962</v>
      </c>
      <c r="H5" s="705" t="s">
        <v>963</v>
      </c>
      <c r="I5" s="706"/>
      <c r="J5" s="401"/>
      <c r="K5" s="399"/>
    </row>
    <row r="6" spans="2:11">
      <c r="B6" s="590">
        <v>1</v>
      </c>
      <c r="C6" s="1034" t="s">
        <v>1300</v>
      </c>
      <c r="D6" s="1035" t="s">
        <v>964</v>
      </c>
      <c r="E6" s="1035" t="s">
        <v>2015</v>
      </c>
      <c r="F6" s="1036">
        <v>1</v>
      </c>
      <c r="G6" s="1035">
        <v>132</v>
      </c>
      <c r="H6" s="736">
        <v>0.5</v>
      </c>
      <c r="I6" s="591"/>
      <c r="J6" s="591"/>
      <c r="K6" s="399"/>
    </row>
    <row r="7" spans="2:11">
      <c r="B7" s="590">
        <v>2</v>
      </c>
      <c r="C7" s="1034" t="s">
        <v>1301</v>
      </c>
      <c r="D7" s="1035" t="s">
        <v>964</v>
      </c>
      <c r="E7" s="1035" t="s">
        <v>2015</v>
      </c>
      <c r="F7" s="1036">
        <v>1</v>
      </c>
      <c r="G7" s="1035">
        <v>132</v>
      </c>
      <c r="H7" s="736">
        <v>0.1</v>
      </c>
      <c r="I7" s="591"/>
      <c r="J7" s="591"/>
      <c r="K7" s="399"/>
    </row>
    <row r="8" spans="2:11">
      <c r="B8" s="590">
        <v>3</v>
      </c>
      <c r="C8" s="1034" t="s">
        <v>1303</v>
      </c>
      <c r="D8" s="1035" t="s">
        <v>964</v>
      </c>
      <c r="E8" s="1035" t="s">
        <v>2015</v>
      </c>
      <c r="F8" s="1036">
        <v>1</v>
      </c>
      <c r="G8" s="1035">
        <v>132</v>
      </c>
      <c r="H8" s="736">
        <v>44</v>
      </c>
      <c r="I8" s="591"/>
      <c r="J8" s="591"/>
      <c r="K8" s="399"/>
    </row>
    <row r="9" spans="2:11">
      <c r="B9" s="590">
        <v>4</v>
      </c>
      <c r="C9" s="1034" t="s">
        <v>1304</v>
      </c>
      <c r="D9" s="1035" t="s">
        <v>964</v>
      </c>
      <c r="E9" s="1035" t="s">
        <v>2015</v>
      </c>
      <c r="F9" s="1036">
        <v>1</v>
      </c>
      <c r="G9" s="1035">
        <v>132</v>
      </c>
      <c r="H9" s="736">
        <v>35.4</v>
      </c>
      <c r="I9" s="591"/>
      <c r="J9" s="591"/>
      <c r="K9" s="399"/>
    </row>
    <row r="10" spans="2:11">
      <c r="B10" s="590">
        <v>5</v>
      </c>
      <c r="C10" s="1034" t="s">
        <v>2016</v>
      </c>
      <c r="D10" s="1035" t="s">
        <v>964</v>
      </c>
      <c r="E10" s="1035" t="s">
        <v>2017</v>
      </c>
      <c r="F10" s="1036">
        <v>1</v>
      </c>
      <c r="G10" s="1035">
        <v>132</v>
      </c>
      <c r="H10" s="736">
        <v>9.1999999999999993</v>
      </c>
      <c r="I10" s="591"/>
      <c r="J10" s="591"/>
      <c r="K10" s="399"/>
    </row>
    <row r="11" spans="2:11">
      <c r="B11" s="590">
        <v>6</v>
      </c>
      <c r="C11" s="1034" t="s">
        <v>1723</v>
      </c>
      <c r="D11" s="1035" t="s">
        <v>964</v>
      </c>
      <c r="E11" s="1035" t="s">
        <v>2015</v>
      </c>
      <c r="F11" s="1036">
        <v>1</v>
      </c>
      <c r="G11" s="1035">
        <v>132</v>
      </c>
      <c r="H11" s="736">
        <v>14.56</v>
      </c>
      <c r="I11" s="591"/>
      <c r="J11" s="591"/>
      <c r="K11" s="399"/>
    </row>
    <row r="12" spans="2:11" s="147" customFormat="1">
      <c r="B12" s="590">
        <v>7</v>
      </c>
      <c r="C12" s="1034" t="s">
        <v>1374</v>
      </c>
      <c r="D12" s="1035" t="s">
        <v>964</v>
      </c>
      <c r="E12" s="1035" t="s">
        <v>2017</v>
      </c>
      <c r="F12" s="1036">
        <v>1</v>
      </c>
      <c r="G12" s="1035">
        <v>132</v>
      </c>
      <c r="H12" s="737">
        <v>23.2</v>
      </c>
      <c r="I12" s="591"/>
      <c r="J12" s="591"/>
      <c r="K12" s="701"/>
    </row>
    <row r="13" spans="2:11">
      <c r="B13" s="590">
        <v>8</v>
      </c>
      <c r="C13" s="1034" t="s">
        <v>2018</v>
      </c>
      <c r="D13" s="1035" t="s">
        <v>964</v>
      </c>
      <c r="E13" s="1035" t="s">
        <v>2015</v>
      </c>
      <c r="F13" s="1036">
        <v>1</v>
      </c>
      <c r="G13" s="1035">
        <v>132</v>
      </c>
      <c r="H13" s="737">
        <v>22.5</v>
      </c>
      <c r="I13" s="591"/>
      <c r="J13" s="591"/>
      <c r="K13" s="399"/>
    </row>
    <row r="14" spans="2:11">
      <c r="B14" s="590">
        <v>9</v>
      </c>
      <c r="C14" s="1034" t="s">
        <v>1373</v>
      </c>
      <c r="D14" s="1035" t="s">
        <v>964</v>
      </c>
      <c r="E14" s="1035" t="s">
        <v>2015</v>
      </c>
      <c r="F14" s="1036">
        <v>1</v>
      </c>
      <c r="G14" s="1035">
        <v>132</v>
      </c>
      <c r="H14" s="737">
        <v>23.8</v>
      </c>
      <c r="I14" s="591"/>
      <c r="J14" s="591"/>
      <c r="K14" s="399"/>
    </row>
    <row r="15" spans="2:11">
      <c r="B15" s="590">
        <v>10</v>
      </c>
      <c r="C15" s="972" t="s">
        <v>1376</v>
      </c>
      <c r="D15" s="1035" t="s">
        <v>964</v>
      </c>
      <c r="E15" s="1035" t="s">
        <v>2015</v>
      </c>
      <c r="F15" s="1036">
        <v>1</v>
      </c>
      <c r="G15" s="1035">
        <v>132</v>
      </c>
      <c r="H15" s="737">
        <v>26.4</v>
      </c>
      <c r="I15" s="591"/>
      <c r="J15" s="591"/>
      <c r="K15" s="399"/>
    </row>
    <row r="16" spans="2:11">
      <c r="B16" s="590">
        <v>11</v>
      </c>
      <c r="C16" s="1034" t="s">
        <v>1375</v>
      </c>
      <c r="D16" s="1035" t="s">
        <v>964</v>
      </c>
      <c r="E16" s="1035" t="s">
        <v>2015</v>
      </c>
      <c r="F16" s="1036">
        <v>1</v>
      </c>
      <c r="G16" s="1035">
        <v>132</v>
      </c>
      <c r="H16" s="737">
        <v>69.459999999999994</v>
      </c>
      <c r="I16" s="591"/>
      <c r="J16" s="591"/>
      <c r="K16" s="399"/>
    </row>
    <row r="17" spans="2:11">
      <c r="B17" s="590">
        <v>12</v>
      </c>
      <c r="C17" s="1034" t="s">
        <v>2019</v>
      </c>
      <c r="D17" s="1035" t="s">
        <v>964</v>
      </c>
      <c r="E17" s="1035" t="s">
        <v>2017</v>
      </c>
      <c r="F17" s="1036">
        <v>1</v>
      </c>
      <c r="G17" s="1035">
        <v>132</v>
      </c>
      <c r="H17" s="737">
        <v>140.80000000000001</v>
      </c>
      <c r="I17" s="591"/>
      <c r="J17" s="591"/>
      <c r="K17" s="399"/>
    </row>
    <row r="18" spans="2:11">
      <c r="B18" s="590">
        <v>13</v>
      </c>
      <c r="C18" s="1034" t="s">
        <v>1370</v>
      </c>
      <c r="D18" s="1035" t="s">
        <v>964</v>
      </c>
      <c r="E18" s="1035" t="s">
        <v>2015</v>
      </c>
      <c r="F18" s="1036">
        <v>1</v>
      </c>
      <c r="G18" s="1035">
        <v>132</v>
      </c>
      <c r="H18" s="737">
        <v>51.44</v>
      </c>
      <c r="I18" s="591"/>
      <c r="J18" s="591"/>
      <c r="K18" s="399"/>
    </row>
    <row r="19" spans="2:11">
      <c r="B19" s="590">
        <v>14</v>
      </c>
      <c r="C19" s="1034" t="s">
        <v>1371</v>
      </c>
      <c r="D19" s="1035" t="s">
        <v>964</v>
      </c>
      <c r="E19" s="1035" t="s">
        <v>2015</v>
      </c>
      <c r="F19" s="1036">
        <v>1</v>
      </c>
      <c r="G19" s="1035">
        <v>132</v>
      </c>
      <c r="H19" s="725">
        <v>21.853999999999999</v>
      </c>
      <c r="I19" s="591"/>
      <c r="J19" s="591"/>
      <c r="K19" s="399"/>
    </row>
    <row r="20" spans="2:11">
      <c r="B20" s="590">
        <v>15</v>
      </c>
      <c r="C20" s="1034" t="s">
        <v>1724</v>
      </c>
      <c r="D20" s="1035" t="s">
        <v>964</v>
      </c>
      <c r="E20" s="1035" t="s">
        <v>2015</v>
      </c>
      <c r="F20" s="1036">
        <v>1</v>
      </c>
      <c r="G20" s="1035">
        <v>132</v>
      </c>
      <c r="H20" s="725">
        <v>46</v>
      </c>
      <c r="I20" s="591"/>
      <c r="J20" s="591"/>
      <c r="K20" s="399"/>
    </row>
    <row r="21" spans="2:11">
      <c r="B21" s="590">
        <v>16</v>
      </c>
      <c r="C21" s="1034" t="s">
        <v>1725</v>
      </c>
      <c r="D21" s="1035" t="s">
        <v>964</v>
      </c>
      <c r="E21" s="1035" t="s">
        <v>2015</v>
      </c>
      <c r="F21" s="1036">
        <v>1</v>
      </c>
      <c r="G21" s="1035">
        <v>132</v>
      </c>
      <c r="H21" s="725">
        <v>44</v>
      </c>
      <c r="I21" s="591"/>
      <c r="J21" s="591"/>
      <c r="K21" s="399"/>
    </row>
    <row r="22" spans="2:11">
      <c r="B22" s="590">
        <v>17</v>
      </c>
      <c r="C22" s="1038" t="s">
        <v>2020</v>
      </c>
      <c r="D22" s="1035" t="s">
        <v>964</v>
      </c>
      <c r="E22" s="1035" t="s">
        <v>2017</v>
      </c>
      <c r="F22" s="1036">
        <v>1</v>
      </c>
      <c r="G22" s="1035">
        <v>132</v>
      </c>
      <c r="H22" s="737">
        <v>28.978000000000002</v>
      </c>
      <c r="I22" s="591"/>
      <c r="J22" s="591"/>
      <c r="K22" s="399"/>
    </row>
    <row r="23" spans="2:11">
      <c r="B23" s="590">
        <v>18</v>
      </c>
      <c r="C23" s="1034" t="s">
        <v>1369</v>
      </c>
      <c r="D23" s="1035" t="s">
        <v>964</v>
      </c>
      <c r="E23" s="1035" t="s">
        <v>2015</v>
      </c>
      <c r="F23" s="1036">
        <v>1</v>
      </c>
      <c r="G23" s="1035">
        <v>132</v>
      </c>
      <c r="H23" s="725">
        <v>40</v>
      </c>
      <c r="I23" s="591"/>
      <c r="J23" s="591"/>
      <c r="K23" s="399"/>
    </row>
    <row r="24" spans="2:11">
      <c r="B24" s="590">
        <v>19</v>
      </c>
      <c r="C24" s="1034" t="s">
        <v>1726</v>
      </c>
      <c r="D24" s="1035" t="s">
        <v>964</v>
      </c>
      <c r="E24" s="1035" t="s">
        <v>2015</v>
      </c>
      <c r="F24" s="1036">
        <v>1</v>
      </c>
      <c r="G24" s="1035">
        <v>132</v>
      </c>
      <c r="H24" s="737">
        <v>55</v>
      </c>
      <c r="I24" s="591"/>
      <c r="J24" s="591"/>
      <c r="K24" s="399"/>
    </row>
    <row r="25" spans="2:11">
      <c r="B25" s="590">
        <v>20</v>
      </c>
      <c r="C25" s="1039" t="s">
        <v>1727</v>
      </c>
      <c r="D25" s="1035" t="s">
        <v>964</v>
      </c>
      <c r="E25" s="1035" t="s">
        <v>2015</v>
      </c>
      <c r="F25" s="1036">
        <v>1</v>
      </c>
      <c r="G25" s="1035">
        <v>132</v>
      </c>
      <c r="H25" s="737">
        <v>83</v>
      </c>
      <c r="I25" s="591"/>
      <c r="J25" s="591"/>
      <c r="K25" s="399"/>
    </row>
    <row r="26" spans="2:11">
      <c r="B26" s="590">
        <v>21</v>
      </c>
      <c r="C26" s="1034" t="s">
        <v>1728</v>
      </c>
      <c r="D26" s="1035" t="s">
        <v>964</v>
      </c>
      <c r="E26" s="1035" t="s">
        <v>2015</v>
      </c>
      <c r="F26" s="1036">
        <v>1</v>
      </c>
      <c r="G26" s="1035">
        <v>132</v>
      </c>
      <c r="H26" s="736">
        <v>34</v>
      </c>
      <c r="I26" s="591"/>
      <c r="J26" s="591"/>
      <c r="K26" s="399"/>
    </row>
    <row r="27" spans="2:11">
      <c r="B27" s="590">
        <v>22</v>
      </c>
      <c r="C27" s="1037" t="s">
        <v>1368</v>
      </c>
      <c r="D27" s="1035" t="s">
        <v>964</v>
      </c>
      <c r="E27" s="1035" t="s">
        <v>2015</v>
      </c>
      <c r="F27" s="1036">
        <v>1</v>
      </c>
      <c r="G27" s="1035">
        <v>132</v>
      </c>
      <c r="H27" s="736">
        <v>39</v>
      </c>
      <c r="I27" s="591"/>
      <c r="J27" s="591"/>
      <c r="K27" s="399"/>
    </row>
    <row r="28" spans="2:11">
      <c r="B28" s="590">
        <v>23</v>
      </c>
      <c r="C28" s="1034" t="s">
        <v>1729</v>
      </c>
      <c r="D28" s="1035" t="s">
        <v>964</v>
      </c>
      <c r="E28" s="1035" t="s">
        <v>2015</v>
      </c>
      <c r="F28" s="1036">
        <v>1</v>
      </c>
      <c r="G28" s="1035">
        <v>132</v>
      </c>
      <c r="H28" s="737">
        <v>62.7</v>
      </c>
      <c r="I28" s="591"/>
      <c r="J28" s="591"/>
      <c r="K28" s="399"/>
    </row>
    <row r="29" spans="2:11">
      <c r="B29" s="590">
        <v>24</v>
      </c>
      <c r="C29" s="1034" t="s">
        <v>1730</v>
      </c>
      <c r="D29" s="1035" t="s">
        <v>964</v>
      </c>
      <c r="E29" s="1035" t="s">
        <v>2015</v>
      </c>
      <c r="F29" s="1036">
        <v>1</v>
      </c>
      <c r="G29" s="1035">
        <v>132</v>
      </c>
      <c r="H29" s="737">
        <v>66.17</v>
      </c>
      <c r="I29" s="591"/>
      <c r="J29" s="591"/>
      <c r="K29" s="399"/>
    </row>
    <row r="30" spans="2:11">
      <c r="B30" s="590">
        <v>25</v>
      </c>
      <c r="C30" s="1034" t="s">
        <v>1316</v>
      </c>
      <c r="D30" s="1035" t="s">
        <v>964</v>
      </c>
      <c r="E30" s="1035" t="s">
        <v>2015</v>
      </c>
      <c r="F30" s="1036">
        <v>1</v>
      </c>
      <c r="G30" s="1035">
        <v>132</v>
      </c>
      <c r="H30" s="737">
        <v>56</v>
      </c>
      <c r="I30" s="591"/>
      <c r="J30" s="591"/>
      <c r="K30" s="399"/>
    </row>
    <row r="31" spans="2:11">
      <c r="B31" s="590">
        <v>26</v>
      </c>
      <c r="C31" s="1039" t="s">
        <v>1317</v>
      </c>
      <c r="D31" s="1035" t="s">
        <v>964</v>
      </c>
      <c r="E31" s="1035" t="s">
        <v>2015</v>
      </c>
      <c r="F31" s="1036">
        <v>1</v>
      </c>
      <c r="G31" s="1035">
        <v>132</v>
      </c>
      <c r="H31" s="737">
        <v>30.14</v>
      </c>
      <c r="I31" s="591"/>
      <c r="J31" s="591"/>
      <c r="K31" s="399"/>
    </row>
    <row r="32" spans="2:11">
      <c r="B32" s="590">
        <v>27</v>
      </c>
      <c r="C32" s="1034" t="s">
        <v>1315</v>
      </c>
      <c r="D32" s="1035" t="s">
        <v>964</v>
      </c>
      <c r="E32" s="1035" t="s">
        <v>2015</v>
      </c>
      <c r="F32" s="1036">
        <v>1</v>
      </c>
      <c r="G32" s="1035">
        <v>132</v>
      </c>
      <c r="H32" s="736">
        <v>27.28</v>
      </c>
      <c r="I32" s="591"/>
      <c r="J32" s="591"/>
      <c r="K32" s="399"/>
    </row>
    <row r="33" spans="2:11">
      <c r="B33" s="590">
        <v>28</v>
      </c>
      <c r="C33" s="1034" t="s">
        <v>2021</v>
      </c>
      <c r="D33" s="1035" t="s">
        <v>964</v>
      </c>
      <c r="E33" s="1035" t="s">
        <v>2017</v>
      </c>
      <c r="F33" s="1036">
        <v>1</v>
      </c>
      <c r="G33" s="1035">
        <v>132</v>
      </c>
      <c r="H33" s="279">
        <v>36</v>
      </c>
      <c r="I33" s="591"/>
      <c r="J33" s="591"/>
      <c r="K33" s="399"/>
    </row>
    <row r="34" spans="2:11">
      <c r="B34" s="590">
        <v>29</v>
      </c>
      <c r="C34" s="1034" t="s">
        <v>2022</v>
      </c>
      <c r="D34" s="1035" t="s">
        <v>964</v>
      </c>
      <c r="E34" s="1035" t="s">
        <v>2017</v>
      </c>
      <c r="F34" s="1036">
        <v>1</v>
      </c>
      <c r="G34" s="1035">
        <v>132</v>
      </c>
      <c r="H34" s="279">
        <v>23.571999999999999</v>
      </c>
      <c r="I34" s="591"/>
      <c r="J34" s="591"/>
      <c r="K34" s="399"/>
    </row>
    <row r="35" spans="2:11">
      <c r="B35" s="590">
        <v>30</v>
      </c>
      <c r="C35" s="1034" t="s">
        <v>1302</v>
      </c>
      <c r="D35" s="1035" t="s">
        <v>964</v>
      </c>
      <c r="E35" s="1035" t="s">
        <v>2015</v>
      </c>
      <c r="F35" s="1036">
        <v>1</v>
      </c>
      <c r="G35" s="1035">
        <v>132</v>
      </c>
      <c r="H35" s="726">
        <v>77.5</v>
      </c>
      <c r="I35" s="591"/>
      <c r="J35" s="591"/>
      <c r="K35" s="399"/>
    </row>
    <row r="36" spans="2:11">
      <c r="B36" s="590">
        <v>31</v>
      </c>
      <c r="C36" s="1034" t="s">
        <v>1320</v>
      </c>
      <c r="D36" s="1035" t="s">
        <v>964</v>
      </c>
      <c r="E36" s="1035" t="s">
        <v>2015</v>
      </c>
      <c r="F36" s="1036">
        <v>1</v>
      </c>
      <c r="G36" s="1035">
        <v>132</v>
      </c>
      <c r="H36" s="736">
        <v>29</v>
      </c>
      <c r="I36" s="591"/>
      <c r="J36" s="591"/>
      <c r="K36" s="399"/>
    </row>
    <row r="37" spans="2:11">
      <c r="B37" s="590">
        <v>32</v>
      </c>
      <c r="C37" s="1037" t="s">
        <v>1731</v>
      </c>
      <c r="D37" s="1035" t="s">
        <v>964</v>
      </c>
      <c r="E37" s="1035" t="s">
        <v>2015</v>
      </c>
      <c r="F37" s="1036">
        <v>1</v>
      </c>
      <c r="G37" s="1035">
        <v>132</v>
      </c>
      <c r="H37" s="736">
        <v>94</v>
      </c>
      <c r="I37" s="591"/>
      <c r="J37" s="591"/>
      <c r="K37" s="399"/>
    </row>
    <row r="38" spans="2:11">
      <c r="B38" s="590">
        <v>33</v>
      </c>
      <c r="C38" s="1034" t="s">
        <v>1732</v>
      </c>
      <c r="D38" s="1035" t="s">
        <v>964</v>
      </c>
      <c r="E38" s="1035" t="s">
        <v>2015</v>
      </c>
      <c r="F38" s="1036">
        <v>1</v>
      </c>
      <c r="G38" s="1035">
        <v>132</v>
      </c>
      <c r="H38" s="736">
        <v>28</v>
      </c>
      <c r="I38" s="591"/>
      <c r="J38" s="591"/>
      <c r="K38" s="399"/>
    </row>
    <row r="39" spans="2:11">
      <c r="B39" s="590">
        <v>34</v>
      </c>
      <c r="C39" s="1034" t="s">
        <v>2023</v>
      </c>
      <c r="D39" s="1035" t="s">
        <v>964</v>
      </c>
      <c r="E39" s="1035" t="s">
        <v>2015</v>
      </c>
      <c r="F39" s="1036">
        <v>1</v>
      </c>
      <c r="G39" s="1035">
        <v>132</v>
      </c>
      <c r="H39" s="736">
        <v>26</v>
      </c>
      <c r="I39" s="591"/>
      <c r="J39" s="591"/>
      <c r="K39" s="399"/>
    </row>
    <row r="40" spans="2:11">
      <c r="B40" s="590">
        <v>35</v>
      </c>
      <c r="C40" s="1034" t="s">
        <v>1733</v>
      </c>
      <c r="D40" s="1035" t="s">
        <v>964</v>
      </c>
      <c r="E40" s="1035" t="s">
        <v>2015</v>
      </c>
      <c r="F40" s="1036">
        <v>1</v>
      </c>
      <c r="G40" s="1035">
        <v>132</v>
      </c>
      <c r="H40" s="736">
        <v>19</v>
      </c>
      <c r="I40" s="591"/>
      <c r="J40" s="591"/>
      <c r="K40" s="399"/>
    </row>
    <row r="41" spans="2:11">
      <c r="B41" s="590">
        <v>36</v>
      </c>
      <c r="C41" s="1034" t="s">
        <v>1734</v>
      </c>
      <c r="D41" s="1035" t="s">
        <v>964</v>
      </c>
      <c r="E41" s="1035" t="s">
        <v>2015</v>
      </c>
      <c r="F41" s="1036">
        <v>1</v>
      </c>
      <c r="G41" s="1035">
        <v>132</v>
      </c>
      <c r="H41" s="736">
        <v>30</v>
      </c>
      <c r="I41" s="591"/>
      <c r="J41" s="591"/>
      <c r="K41" s="399"/>
    </row>
    <row r="42" spans="2:11">
      <c r="B42" s="590">
        <v>37</v>
      </c>
      <c r="C42" s="1034" t="s">
        <v>1735</v>
      </c>
      <c r="D42" s="1035" t="s">
        <v>964</v>
      </c>
      <c r="E42" s="1035" t="s">
        <v>2015</v>
      </c>
      <c r="F42" s="1036">
        <v>1</v>
      </c>
      <c r="G42" s="1035">
        <v>132</v>
      </c>
      <c r="H42" s="736">
        <v>14</v>
      </c>
      <c r="I42" s="591"/>
      <c r="J42" s="591"/>
      <c r="K42" s="399"/>
    </row>
    <row r="43" spans="2:11">
      <c r="B43" s="590">
        <v>38</v>
      </c>
      <c r="C43" s="1034" t="s">
        <v>2024</v>
      </c>
      <c r="D43" s="1035" t="s">
        <v>964</v>
      </c>
      <c r="E43" s="1035" t="s">
        <v>2017</v>
      </c>
      <c r="F43" s="1036">
        <v>1</v>
      </c>
      <c r="G43" s="1035">
        <v>132</v>
      </c>
      <c r="H43" s="736">
        <v>56</v>
      </c>
      <c r="I43" s="591"/>
      <c r="J43" s="591"/>
      <c r="K43" s="399"/>
    </row>
    <row r="44" spans="2:11">
      <c r="B44" s="590">
        <v>39</v>
      </c>
      <c r="C44" s="1034" t="s">
        <v>1322</v>
      </c>
      <c r="D44" s="1035" t="s">
        <v>964</v>
      </c>
      <c r="E44" s="1035" t="s">
        <v>2015</v>
      </c>
      <c r="F44" s="1036">
        <v>1</v>
      </c>
      <c r="G44" s="1035">
        <v>132</v>
      </c>
      <c r="H44" s="736">
        <v>0.05</v>
      </c>
      <c r="I44" s="591"/>
      <c r="J44" s="591"/>
      <c r="K44" s="399"/>
    </row>
    <row r="45" spans="2:11">
      <c r="B45" s="590">
        <v>40</v>
      </c>
      <c r="C45" s="1034" t="s">
        <v>1314</v>
      </c>
      <c r="D45" s="1035" t="s">
        <v>964</v>
      </c>
      <c r="E45" s="1035" t="s">
        <v>2015</v>
      </c>
      <c r="F45" s="1036">
        <v>1</v>
      </c>
      <c r="G45" s="1035">
        <v>132</v>
      </c>
      <c r="H45" s="279">
        <v>28.07</v>
      </c>
      <c r="I45" s="591"/>
      <c r="J45" s="591"/>
      <c r="K45" s="399"/>
    </row>
    <row r="46" spans="2:11">
      <c r="B46" s="590">
        <v>41</v>
      </c>
      <c r="C46" s="1041" t="s">
        <v>2025</v>
      </c>
      <c r="D46" s="1035" t="s">
        <v>964</v>
      </c>
      <c r="E46" s="1035" t="s">
        <v>2017</v>
      </c>
      <c r="F46" s="1036">
        <v>1</v>
      </c>
      <c r="G46" s="1035">
        <v>132</v>
      </c>
      <c r="H46" s="736">
        <v>70</v>
      </c>
      <c r="I46" s="591"/>
      <c r="J46" s="591"/>
      <c r="K46" s="399"/>
    </row>
    <row r="47" spans="2:11">
      <c r="B47" s="590">
        <v>42</v>
      </c>
      <c r="C47" s="1037" t="s">
        <v>1736</v>
      </c>
      <c r="D47" s="1035" t="s">
        <v>964</v>
      </c>
      <c r="E47" s="1035" t="s">
        <v>2015</v>
      </c>
      <c r="F47" s="1036">
        <v>1</v>
      </c>
      <c r="G47" s="1035">
        <v>132</v>
      </c>
      <c r="H47" s="736">
        <v>17.309999999999999</v>
      </c>
      <c r="I47" s="591"/>
      <c r="J47" s="591"/>
      <c r="K47" s="399"/>
    </row>
    <row r="48" spans="2:11">
      <c r="B48" s="590">
        <v>43</v>
      </c>
      <c r="C48" s="1034" t="s">
        <v>1319</v>
      </c>
      <c r="D48" s="1035" t="s">
        <v>964</v>
      </c>
      <c r="E48" s="1035" t="s">
        <v>2015</v>
      </c>
      <c r="F48" s="1036">
        <v>1</v>
      </c>
      <c r="G48" s="1035">
        <v>132</v>
      </c>
      <c r="H48" s="736">
        <v>7.35</v>
      </c>
      <c r="I48" s="591"/>
      <c r="J48" s="591"/>
      <c r="K48" s="399"/>
    </row>
    <row r="49" spans="2:11">
      <c r="B49" s="590">
        <v>44</v>
      </c>
      <c r="C49" s="1034" t="s">
        <v>1318</v>
      </c>
      <c r="D49" s="1035" t="s">
        <v>964</v>
      </c>
      <c r="E49" s="1035" t="s">
        <v>2015</v>
      </c>
      <c r="F49" s="1036">
        <v>1</v>
      </c>
      <c r="G49" s="1035">
        <v>132</v>
      </c>
      <c r="H49" s="738">
        <v>32</v>
      </c>
      <c r="I49" s="591"/>
      <c r="J49" s="591"/>
      <c r="K49" s="399"/>
    </row>
    <row r="50" spans="2:11">
      <c r="B50" s="590">
        <v>45</v>
      </c>
      <c r="C50" s="1034" t="s">
        <v>1321</v>
      </c>
      <c r="D50" s="1035" t="s">
        <v>964</v>
      </c>
      <c r="E50" s="1035" t="s">
        <v>2015</v>
      </c>
      <c r="F50" s="1036">
        <v>1</v>
      </c>
      <c r="G50" s="1035">
        <v>132</v>
      </c>
      <c r="H50" s="736">
        <v>24.32</v>
      </c>
      <c r="I50" s="591"/>
      <c r="J50" s="591"/>
    </row>
    <row r="51" spans="2:11">
      <c r="B51" s="590">
        <v>46</v>
      </c>
      <c r="C51" s="1037" t="s">
        <v>1323</v>
      </c>
      <c r="D51" s="1035" t="s">
        <v>964</v>
      </c>
      <c r="E51" s="1035" t="s">
        <v>2015</v>
      </c>
      <c r="F51" s="1036">
        <v>1</v>
      </c>
      <c r="G51" s="1035">
        <v>132</v>
      </c>
      <c r="H51" s="279">
        <v>30</v>
      </c>
      <c r="I51" s="591"/>
      <c r="J51" s="591"/>
    </row>
    <row r="52" spans="2:11">
      <c r="B52" s="590">
        <v>47</v>
      </c>
      <c r="C52" s="1039" t="s">
        <v>1737</v>
      </c>
      <c r="D52" s="1035" t="s">
        <v>964</v>
      </c>
      <c r="E52" s="1035" t="s">
        <v>2015</v>
      </c>
      <c r="F52" s="1036">
        <v>1</v>
      </c>
      <c r="G52" s="1035">
        <v>132</v>
      </c>
      <c r="H52" s="736">
        <v>55</v>
      </c>
      <c r="I52" s="591"/>
      <c r="J52" s="591"/>
    </row>
    <row r="53" spans="2:11">
      <c r="B53" s="590">
        <v>48</v>
      </c>
      <c r="C53" s="1034" t="s">
        <v>2026</v>
      </c>
      <c r="D53" s="1035" t="s">
        <v>964</v>
      </c>
      <c r="E53" s="1035" t="s">
        <v>2017</v>
      </c>
      <c r="F53" s="1036">
        <v>1</v>
      </c>
      <c r="G53" s="1035">
        <v>132</v>
      </c>
      <c r="H53" s="736">
        <v>77</v>
      </c>
      <c r="I53" s="591"/>
      <c r="J53" s="591"/>
    </row>
    <row r="54" spans="2:11">
      <c r="B54" s="590">
        <v>49</v>
      </c>
      <c r="C54" s="1034" t="s">
        <v>1738</v>
      </c>
      <c r="D54" s="1035" t="s">
        <v>964</v>
      </c>
      <c r="E54" s="1035" t="s">
        <v>2015</v>
      </c>
      <c r="F54" s="1036">
        <v>1</v>
      </c>
      <c r="G54" s="1035">
        <v>132</v>
      </c>
      <c r="H54" s="736">
        <v>24.46</v>
      </c>
      <c r="I54" s="591"/>
      <c r="J54" s="591"/>
    </row>
    <row r="55" spans="2:11">
      <c r="B55" s="590">
        <v>50</v>
      </c>
      <c r="C55" s="1034" t="s">
        <v>1739</v>
      </c>
      <c r="D55" s="1035" t="s">
        <v>964</v>
      </c>
      <c r="E55" s="1035" t="s">
        <v>2015</v>
      </c>
      <c r="F55" s="1036">
        <v>1</v>
      </c>
      <c r="G55" s="1035">
        <v>132</v>
      </c>
      <c r="H55" s="279">
        <v>16.8</v>
      </c>
      <c r="I55" s="591"/>
      <c r="J55" s="591"/>
    </row>
    <row r="56" spans="2:11">
      <c r="B56" s="590">
        <v>51</v>
      </c>
      <c r="C56" s="1034" t="s">
        <v>1292</v>
      </c>
      <c r="D56" s="1035" t="s">
        <v>964</v>
      </c>
      <c r="E56" s="1035" t="s">
        <v>2015</v>
      </c>
      <c r="F56" s="1036">
        <v>1</v>
      </c>
      <c r="G56" s="1035">
        <v>132</v>
      </c>
      <c r="H56" s="736">
        <v>45</v>
      </c>
      <c r="I56" s="591"/>
      <c r="J56" s="591"/>
      <c r="K56" s="399"/>
    </row>
    <row r="57" spans="2:11">
      <c r="B57" s="590">
        <v>52</v>
      </c>
      <c r="C57" s="1034" t="s">
        <v>2027</v>
      </c>
      <c r="D57" s="1035" t="s">
        <v>964</v>
      </c>
      <c r="E57" s="1035" t="s">
        <v>2017</v>
      </c>
      <c r="F57" s="1036">
        <v>1</v>
      </c>
      <c r="G57" s="1035">
        <v>132</v>
      </c>
      <c r="H57" s="279">
        <v>28.9</v>
      </c>
      <c r="I57" s="591"/>
      <c r="J57" s="591"/>
      <c r="K57" s="399"/>
    </row>
    <row r="58" spans="2:11">
      <c r="B58" s="590">
        <v>53</v>
      </c>
      <c r="C58" s="1034" t="s">
        <v>1295</v>
      </c>
      <c r="D58" s="1035" t="s">
        <v>964</v>
      </c>
      <c r="E58" s="1035" t="s">
        <v>2015</v>
      </c>
      <c r="F58" s="1036">
        <v>1</v>
      </c>
      <c r="G58" s="1035">
        <v>132</v>
      </c>
      <c r="H58" s="726">
        <v>87.6</v>
      </c>
      <c r="I58" s="591"/>
      <c r="J58" s="591"/>
      <c r="K58" s="399"/>
    </row>
    <row r="59" spans="2:11">
      <c r="B59" s="590">
        <v>54</v>
      </c>
      <c r="C59" s="1034" t="s">
        <v>1290</v>
      </c>
      <c r="D59" s="1035" t="s">
        <v>964</v>
      </c>
      <c r="E59" s="1035" t="s">
        <v>2015</v>
      </c>
      <c r="F59" s="1036">
        <v>1</v>
      </c>
      <c r="G59" s="1035">
        <v>132</v>
      </c>
      <c r="H59" s="736">
        <v>30</v>
      </c>
      <c r="I59" s="591"/>
      <c r="J59" s="591"/>
      <c r="K59" s="399"/>
    </row>
    <row r="60" spans="2:11">
      <c r="B60" s="590">
        <v>55</v>
      </c>
      <c r="C60" s="1034" t="s">
        <v>2028</v>
      </c>
      <c r="D60" s="1035" t="s">
        <v>964</v>
      </c>
      <c r="E60" s="1035" t="s">
        <v>2017</v>
      </c>
      <c r="F60" s="1036">
        <v>1</v>
      </c>
      <c r="G60" s="1035">
        <v>132</v>
      </c>
      <c r="H60" s="736">
        <v>95</v>
      </c>
      <c r="I60" s="591"/>
      <c r="J60" s="591"/>
      <c r="K60" s="399"/>
    </row>
    <row r="61" spans="2:11">
      <c r="B61" s="590">
        <v>56</v>
      </c>
      <c r="C61" s="1034" t="s">
        <v>1299</v>
      </c>
      <c r="D61" s="1035" t="s">
        <v>964</v>
      </c>
      <c r="E61" s="1035" t="s">
        <v>2015</v>
      </c>
      <c r="F61" s="1036">
        <v>1</v>
      </c>
      <c r="G61" s="1035">
        <v>132</v>
      </c>
      <c r="H61" s="736">
        <v>1</v>
      </c>
      <c r="I61" s="591"/>
      <c r="J61" s="591"/>
      <c r="K61" s="399"/>
    </row>
    <row r="62" spans="2:11">
      <c r="B62" s="590">
        <v>57</v>
      </c>
      <c r="C62" s="1034" t="s">
        <v>1293</v>
      </c>
      <c r="D62" s="1035" t="s">
        <v>964</v>
      </c>
      <c r="E62" s="1035" t="s">
        <v>2015</v>
      </c>
      <c r="F62" s="1036">
        <v>1</v>
      </c>
      <c r="G62" s="1035">
        <v>132</v>
      </c>
      <c r="H62" s="736">
        <v>40</v>
      </c>
      <c r="I62" s="591"/>
      <c r="J62" s="591"/>
      <c r="K62" s="399"/>
    </row>
    <row r="63" spans="2:11">
      <c r="B63" s="590">
        <v>58</v>
      </c>
      <c r="C63" s="1034" t="s">
        <v>1294</v>
      </c>
      <c r="D63" s="1035" t="s">
        <v>964</v>
      </c>
      <c r="E63" s="1035" t="s">
        <v>2015</v>
      </c>
      <c r="F63" s="1036">
        <v>1</v>
      </c>
      <c r="G63" s="1035">
        <v>132</v>
      </c>
      <c r="H63" s="736">
        <v>21</v>
      </c>
      <c r="I63" s="591"/>
      <c r="J63" s="591"/>
      <c r="K63" s="399"/>
    </row>
    <row r="64" spans="2:11">
      <c r="B64" s="590">
        <v>59</v>
      </c>
      <c r="C64" s="1034" t="s">
        <v>1291</v>
      </c>
      <c r="D64" s="1035" t="s">
        <v>964</v>
      </c>
      <c r="E64" s="1035" t="s">
        <v>2015</v>
      </c>
      <c r="F64" s="1036">
        <v>1</v>
      </c>
      <c r="G64" s="1035">
        <v>132</v>
      </c>
      <c r="H64" s="736">
        <v>39</v>
      </c>
      <c r="I64" s="591"/>
      <c r="J64" s="591"/>
      <c r="K64" s="399"/>
    </row>
    <row r="65" spans="2:11">
      <c r="B65" s="590">
        <v>60</v>
      </c>
      <c r="C65" s="1034" t="s">
        <v>1306</v>
      </c>
      <c r="D65" s="1035" t="s">
        <v>964</v>
      </c>
      <c r="E65" s="1035" t="s">
        <v>2015</v>
      </c>
      <c r="F65" s="1036">
        <v>1</v>
      </c>
      <c r="G65" s="1035">
        <v>132</v>
      </c>
      <c r="H65" s="736">
        <v>30.5</v>
      </c>
      <c r="I65" s="591"/>
      <c r="J65" s="591"/>
      <c r="K65" s="399"/>
    </row>
    <row r="66" spans="2:11">
      <c r="B66" s="590">
        <v>61</v>
      </c>
      <c r="C66" s="1034" t="s">
        <v>1298</v>
      </c>
      <c r="D66" s="1035" t="s">
        <v>964</v>
      </c>
      <c r="E66" s="1035" t="s">
        <v>2015</v>
      </c>
      <c r="F66" s="1036">
        <v>1</v>
      </c>
      <c r="G66" s="1035">
        <v>132</v>
      </c>
      <c r="H66" s="736">
        <v>29</v>
      </c>
      <c r="I66" s="591"/>
      <c r="J66" s="591"/>
      <c r="K66" s="399"/>
    </row>
    <row r="67" spans="2:11">
      <c r="B67" s="590">
        <v>62</v>
      </c>
      <c r="C67" s="1034" t="s">
        <v>2029</v>
      </c>
      <c r="D67" s="1035" t="s">
        <v>964</v>
      </c>
      <c r="E67" s="1035" t="s">
        <v>2017</v>
      </c>
      <c r="F67" s="1036">
        <v>1</v>
      </c>
      <c r="G67" s="1035">
        <v>132</v>
      </c>
      <c r="H67" s="736">
        <v>42</v>
      </c>
      <c r="I67" s="591"/>
      <c r="J67" s="591"/>
      <c r="K67" s="399"/>
    </row>
    <row r="68" spans="2:11">
      <c r="B68" s="590">
        <v>63</v>
      </c>
      <c r="C68" s="1034" t="s">
        <v>1307</v>
      </c>
      <c r="D68" s="1035" t="s">
        <v>964</v>
      </c>
      <c r="E68" s="1035" t="s">
        <v>2015</v>
      </c>
      <c r="F68" s="1036">
        <v>1</v>
      </c>
      <c r="G68" s="1035">
        <v>132</v>
      </c>
      <c r="H68" s="736">
        <v>0.75</v>
      </c>
      <c r="I68" s="591"/>
      <c r="J68" s="591"/>
      <c r="K68" s="399"/>
    </row>
    <row r="69" spans="2:11">
      <c r="B69" s="590">
        <v>64</v>
      </c>
      <c r="C69" s="1034" t="s">
        <v>1305</v>
      </c>
      <c r="D69" s="1035" t="s">
        <v>964</v>
      </c>
      <c r="E69" s="1035" t="s">
        <v>2015</v>
      </c>
      <c r="F69" s="1036">
        <v>1</v>
      </c>
      <c r="G69" s="1035">
        <v>132</v>
      </c>
      <c r="H69" s="736">
        <v>34</v>
      </c>
      <c r="I69" s="592"/>
      <c r="J69" s="592"/>
      <c r="K69" s="399"/>
    </row>
    <row r="70" spans="2:11">
      <c r="B70" s="590">
        <v>65</v>
      </c>
      <c r="C70" s="1034" t="s">
        <v>2030</v>
      </c>
      <c r="D70" s="1035" t="s">
        <v>964</v>
      </c>
      <c r="E70" s="1035" t="s">
        <v>2015</v>
      </c>
      <c r="F70" s="1036">
        <v>1</v>
      </c>
      <c r="G70" s="1035">
        <v>132</v>
      </c>
      <c r="H70" s="736">
        <v>34</v>
      </c>
      <c r="I70" s="592"/>
      <c r="J70" s="592"/>
      <c r="K70" s="399"/>
    </row>
    <row r="71" spans="2:11">
      <c r="B71" s="590">
        <v>66</v>
      </c>
      <c r="C71" s="1034" t="s">
        <v>2031</v>
      </c>
      <c r="D71" s="1035" t="s">
        <v>964</v>
      </c>
      <c r="E71" s="1035" t="s">
        <v>2017</v>
      </c>
      <c r="F71" s="1036">
        <v>1</v>
      </c>
      <c r="G71" s="1035">
        <v>132</v>
      </c>
      <c r="H71" s="736">
        <v>104</v>
      </c>
      <c r="I71" s="591"/>
      <c r="J71" s="591"/>
    </row>
    <row r="72" spans="2:11">
      <c r="B72" s="590">
        <v>67</v>
      </c>
      <c r="C72" s="1034" t="s">
        <v>1740</v>
      </c>
      <c r="D72" s="1035" t="s">
        <v>964</v>
      </c>
      <c r="E72" s="1035" t="s">
        <v>2015</v>
      </c>
      <c r="F72" s="1036">
        <v>1</v>
      </c>
      <c r="G72" s="1035">
        <v>132</v>
      </c>
      <c r="H72" s="736">
        <v>4</v>
      </c>
      <c r="I72" s="591"/>
      <c r="J72" s="591"/>
    </row>
    <row r="73" spans="2:11" s="707" customFormat="1">
      <c r="B73" s="590">
        <v>68</v>
      </c>
      <c r="C73" s="1034" t="s">
        <v>2032</v>
      </c>
      <c r="D73" s="1035" t="s">
        <v>964</v>
      </c>
      <c r="E73" s="1035" t="s">
        <v>2017</v>
      </c>
      <c r="F73" s="1036">
        <v>1</v>
      </c>
      <c r="G73" s="1035">
        <v>132</v>
      </c>
      <c r="H73" s="736">
        <v>101</v>
      </c>
      <c r="I73" s="591"/>
      <c r="J73" s="591"/>
    </row>
    <row r="74" spans="2:11" s="707" customFormat="1">
      <c r="B74" s="590">
        <v>69</v>
      </c>
      <c r="C74" s="1034" t="s">
        <v>2033</v>
      </c>
      <c r="D74" s="1035" t="s">
        <v>964</v>
      </c>
      <c r="E74" s="1035" t="s">
        <v>2017</v>
      </c>
      <c r="F74" s="1036">
        <v>1</v>
      </c>
      <c r="G74" s="1035">
        <v>132</v>
      </c>
      <c r="H74" s="736">
        <v>71</v>
      </c>
      <c r="I74" s="591"/>
      <c r="J74" s="591"/>
    </row>
    <row r="75" spans="2:11" s="707" customFormat="1">
      <c r="B75" s="590">
        <v>70</v>
      </c>
      <c r="C75" s="1039" t="s">
        <v>1356</v>
      </c>
      <c r="D75" s="1035" t="s">
        <v>964</v>
      </c>
      <c r="E75" s="1035" t="s">
        <v>2015</v>
      </c>
      <c r="F75" s="1036">
        <v>1</v>
      </c>
      <c r="G75" s="1035">
        <v>132</v>
      </c>
      <c r="H75" s="736">
        <v>76</v>
      </c>
      <c r="I75" s="591"/>
      <c r="J75" s="591"/>
      <c r="K75" s="708"/>
    </row>
    <row r="76" spans="2:11" s="707" customFormat="1">
      <c r="B76" s="590">
        <v>71</v>
      </c>
      <c r="C76" s="1034" t="s">
        <v>2034</v>
      </c>
      <c r="D76" s="1035" t="s">
        <v>964</v>
      </c>
      <c r="E76" s="1035" t="s">
        <v>2017</v>
      </c>
      <c r="F76" s="1036">
        <v>1</v>
      </c>
      <c r="G76" s="1035">
        <v>132</v>
      </c>
      <c r="H76" s="736">
        <v>60</v>
      </c>
      <c r="I76" s="591"/>
      <c r="J76" s="591"/>
      <c r="K76" s="708"/>
    </row>
    <row r="77" spans="2:11" s="707" customFormat="1">
      <c r="B77" s="590">
        <v>72</v>
      </c>
      <c r="C77" s="1034" t="s">
        <v>1377</v>
      </c>
      <c r="D77" s="1035" t="s">
        <v>964</v>
      </c>
      <c r="E77" s="1035" t="s">
        <v>2015</v>
      </c>
      <c r="F77" s="1036">
        <v>1</v>
      </c>
      <c r="G77" s="1035">
        <v>132</v>
      </c>
      <c r="H77" s="736">
        <v>30</v>
      </c>
      <c r="I77" s="591"/>
      <c r="J77" s="591"/>
      <c r="K77" s="708"/>
    </row>
    <row r="78" spans="2:11" s="707" customFormat="1">
      <c r="B78" s="590">
        <v>73</v>
      </c>
      <c r="C78" s="1034" t="s">
        <v>2035</v>
      </c>
      <c r="D78" s="1035" t="s">
        <v>964</v>
      </c>
      <c r="E78" s="1035" t="s">
        <v>2015</v>
      </c>
      <c r="F78" s="1036">
        <v>1</v>
      </c>
      <c r="G78" s="1035">
        <v>132</v>
      </c>
      <c r="H78" s="736">
        <v>35.049999999999997</v>
      </c>
      <c r="I78" s="591"/>
      <c r="J78" s="591"/>
      <c r="K78" s="708"/>
    </row>
    <row r="79" spans="2:11" s="707" customFormat="1">
      <c r="B79" s="590">
        <v>74</v>
      </c>
      <c r="C79" s="1034" t="s">
        <v>1742</v>
      </c>
      <c r="D79" s="1035" t="s">
        <v>964</v>
      </c>
      <c r="E79" s="1035" t="s">
        <v>2015</v>
      </c>
      <c r="F79" s="1036">
        <v>1</v>
      </c>
      <c r="G79" s="1035">
        <v>132</v>
      </c>
      <c r="H79" s="736">
        <v>42.35</v>
      </c>
      <c r="I79" s="591"/>
      <c r="J79" s="591"/>
      <c r="K79" s="708"/>
    </row>
    <row r="80" spans="2:11" s="707" customFormat="1">
      <c r="B80" s="590">
        <v>75</v>
      </c>
      <c r="C80" s="1038" t="s">
        <v>1741</v>
      </c>
      <c r="D80" s="1035" t="s">
        <v>964</v>
      </c>
      <c r="E80" s="1035" t="s">
        <v>2017</v>
      </c>
      <c r="F80" s="1036">
        <v>1</v>
      </c>
      <c r="G80" s="1035">
        <v>132</v>
      </c>
      <c r="H80" s="737">
        <v>104</v>
      </c>
      <c r="I80" s="591"/>
      <c r="J80" s="591"/>
      <c r="K80" s="708"/>
    </row>
    <row r="81" spans="2:11" s="707" customFormat="1">
      <c r="B81" s="590">
        <v>76</v>
      </c>
      <c r="C81" s="1038" t="s">
        <v>2036</v>
      </c>
      <c r="D81" s="1035" t="s">
        <v>964</v>
      </c>
      <c r="E81" s="1035" t="s">
        <v>2017</v>
      </c>
      <c r="F81" s="1036">
        <v>1</v>
      </c>
      <c r="G81" s="1035">
        <v>132</v>
      </c>
      <c r="H81" s="737">
        <v>30</v>
      </c>
      <c r="I81" s="591"/>
      <c r="J81" s="591"/>
      <c r="K81" s="708"/>
    </row>
    <row r="82" spans="2:11" s="707" customFormat="1">
      <c r="B82" s="590">
        <v>77</v>
      </c>
      <c r="C82" s="1034" t="s">
        <v>2037</v>
      </c>
      <c r="D82" s="1035" t="s">
        <v>964</v>
      </c>
      <c r="E82" s="1035" t="s">
        <v>2017</v>
      </c>
      <c r="F82" s="1036">
        <v>1</v>
      </c>
      <c r="G82" s="1035">
        <v>132</v>
      </c>
      <c r="H82" s="738">
        <v>140.80000000000001</v>
      </c>
      <c r="I82" s="591"/>
      <c r="J82" s="591"/>
      <c r="K82" s="708"/>
    </row>
    <row r="83" spans="2:11" s="707" customFormat="1">
      <c r="B83" s="590">
        <v>78</v>
      </c>
      <c r="C83" s="1034" t="s">
        <v>1378</v>
      </c>
      <c r="D83" s="1035" t="s">
        <v>964</v>
      </c>
      <c r="E83" s="1035" t="s">
        <v>2015</v>
      </c>
      <c r="F83" s="1036">
        <v>1</v>
      </c>
      <c r="G83" s="1035">
        <v>132</v>
      </c>
      <c r="H83" s="737">
        <v>16.54</v>
      </c>
      <c r="I83" s="591"/>
      <c r="J83" s="591"/>
      <c r="K83" s="708"/>
    </row>
    <row r="84" spans="2:11">
      <c r="B84" s="590">
        <v>79</v>
      </c>
      <c r="C84" s="1034" t="s">
        <v>1743</v>
      </c>
      <c r="D84" s="1035" t="s">
        <v>964</v>
      </c>
      <c r="E84" s="1035" t="s">
        <v>2015</v>
      </c>
      <c r="F84" s="1036">
        <v>1</v>
      </c>
      <c r="G84" s="1035">
        <v>132</v>
      </c>
      <c r="H84" s="736">
        <v>35</v>
      </c>
      <c r="I84" s="591"/>
      <c r="J84" s="591"/>
      <c r="K84" s="399"/>
    </row>
    <row r="85" spans="2:11">
      <c r="B85" s="590">
        <v>80</v>
      </c>
      <c r="C85" s="1034" t="s">
        <v>1744</v>
      </c>
      <c r="D85" s="1035" t="s">
        <v>964</v>
      </c>
      <c r="E85" s="1035" t="s">
        <v>2015</v>
      </c>
      <c r="F85" s="1036">
        <v>1</v>
      </c>
      <c r="G85" s="1035">
        <v>132</v>
      </c>
      <c r="H85" s="736">
        <v>46</v>
      </c>
      <c r="I85" s="591"/>
      <c r="J85" s="591"/>
      <c r="K85" s="399"/>
    </row>
    <row r="86" spans="2:11">
      <c r="B86" s="590">
        <v>81</v>
      </c>
      <c r="C86" s="1034" t="s">
        <v>1745</v>
      </c>
      <c r="D86" s="1035" t="s">
        <v>964</v>
      </c>
      <c r="E86" s="1035" t="s">
        <v>2015</v>
      </c>
      <c r="F86" s="1036">
        <v>1</v>
      </c>
      <c r="G86" s="1035">
        <v>132</v>
      </c>
      <c r="H86" s="736">
        <v>42</v>
      </c>
      <c r="I86" s="591"/>
      <c r="J86" s="591"/>
      <c r="K86" s="399"/>
    </row>
    <row r="87" spans="2:11">
      <c r="B87" s="590">
        <v>82</v>
      </c>
      <c r="C87" s="1034" t="s">
        <v>2038</v>
      </c>
      <c r="D87" s="1035" t="s">
        <v>964</v>
      </c>
      <c r="E87" s="1035" t="s">
        <v>2017</v>
      </c>
      <c r="F87" s="1036">
        <v>1</v>
      </c>
      <c r="G87" s="1035">
        <v>132</v>
      </c>
      <c r="H87" s="726">
        <v>119</v>
      </c>
      <c r="I87" s="591"/>
      <c r="J87" s="591"/>
      <c r="K87" s="399"/>
    </row>
    <row r="88" spans="2:11">
      <c r="B88" s="590">
        <v>83</v>
      </c>
      <c r="C88" s="1034" t="s">
        <v>1366</v>
      </c>
      <c r="D88" s="1035" t="s">
        <v>964</v>
      </c>
      <c r="E88" s="1035" t="s">
        <v>2015</v>
      </c>
      <c r="F88" s="1036">
        <v>1</v>
      </c>
      <c r="G88" s="1035">
        <v>132</v>
      </c>
      <c r="H88" s="737">
        <v>42.6</v>
      </c>
      <c r="I88" s="591"/>
      <c r="J88" s="591"/>
      <c r="K88" s="399"/>
    </row>
    <row r="89" spans="2:11">
      <c r="B89" s="590">
        <v>84</v>
      </c>
      <c r="C89" s="1034" t="s">
        <v>2039</v>
      </c>
      <c r="D89" s="1035" t="s">
        <v>964</v>
      </c>
      <c r="E89" s="1035" t="s">
        <v>2017</v>
      </c>
      <c r="F89" s="1036">
        <v>1</v>
      </c>
      <c r="G89" s="1035">
        <v>132</v>
      </c>
      <c r="H89" s="726">
        <v>80</v>
      </c>
      <c r="I89" s="591"/>
      <c r="J89" s="591"/>
      <c r="K89" s="399"/>
    </row>
    <row r="90" spans="2:11" ht="15.75" customHeight="1">
      <c r="B90" s="590">
        <v>85</v>
      </c>
      <c r="C90" s="1034" t="s">
        <v>1746</v>
      </c>
      <c r="D90" s="1035" t="s">
        <v>964</v>
      </c>
      <c r="E90" s="1035" t="s">
        <v>2015</v>
      </c>
      <c r="F90" s="1036">
        <v>1</v>
      </c>
      <c r="G90" s="1035">
        <v>132</v>
      </c>
      <c r="H90" s="726">
        <v>51</v>
      </c>
      <c r="I90" s="591"/>
      <c r="J90" s="591"/>
      <c r="K90" s="399"/>
    </row>
    <row r="91" spans="2:11">
      <c r="B91" s="590">
        <v>86</v>
      </c>
      <c r="C91" s="1034" t="s">
        <v>1364</v>
      </c>
      <c r="D91" s="1035" t="s">
        <v>964</v>
      </c>
      <c r="E91" s="1035" t="s">
        <v>2015</v>
      </c>
      <c r="F91" s="1036">
        <v>1</v>
      </c>
      <c r="G91" s="1035">
        <v>132</v>
      </c>
      <c r="H91" s="737">
        <v>3.5</v>
      </c>
      <c r="I91" s="591"/>
      <c r="J91" s="591"/>
      <c r="K91" s="399"/>
    </row>
    <row r="92" spans="2:11">
      <c r="B92" s="590">
        <v>87</v>
      </c>
      <c r="C92" s="1034" t="s">
        <v>1365</v>
      </c>
      <c r="D92" s="1035" t="s">
        <v>964</v>
      </c>
      <c r="E92" s="1035" t="s">
        <v>2015</v>
      </c>
      <c r="F92" s="1036">
        <v>1</v>
      </c>
      <c r="G92" s="1035">
        <v>132</v>
      </c>
      <c r="H92" s="737">
        <v>5.5</v>
      </c>
      <c r="I92" s="591"/>
      <c r="J92" s="591"/>
      <c r="K92" s="399"/>
    </row>
    <row r="93" spans="2:11">
      <c r="B93" s="590">
        <v>88</v>
      </c>
      <c r="C93" s="1034" t="s">
        <v>1367</v>
      </c>
      <c r="D93" s="1035" t="s">
        <v>964</v>
      </c>
      <c r="E93" s="1035" t="s">
        <v>2015</v>
      </c>
      <c r="F93" s="1036">
        <v>1</v>
      </c>
      <c r="G93" s="1035">
        <v>132</v>
      </c>
      <c r="H93" s="737">
        <v>32</v>
      </c>
      <c r="I93" s="591"/>
      <c r="J93" s="591"/>
    </row>
    <row r="94" spans="2:11">
      <c r="B94" s="590">
        <v>89</v>
      </c>
      <c r="C94" s="1034" t="s">
        <v>2040</v>
      </c>
      <c r="D94" s="1035" t="s">
        <v>964</v>
      </c>
      <c r="E94" s="1035" t="s">
        <v>2017</v>
      </c>
      <c r="F94" s="1036">
        <v>1</v>
      </c>
      <c r="G94" s="1035">
        <v>132</v>
      </c>
      <c r="H94" s="739">
        <v>70</v>
      </c>
      <c r="I94" s="591"/>
      <c r="J94" s="591"/>
      <c r="K94" s="399"/>
    </row>
    <row r="95" spans="2:11">
      <c r="B95" s="590">
        <v>90</v>
      </c>
      <c r="C95" s="1034" t="s">
        <v>1389</v>
      </c>
      <c r="D95" s="1035" t="s">
        <v>964</v>
      </c>
      <c r="E95" s="1035" t="s">
        <v>2015</v>
      </c>
      <c r="F95" s="1036">
        <v>1</v>
      </c>
      <c r="G95" s="1035">
        <v>132</v>
      </c>
      <c r="H95" s="737">
        <v>33</v>
      </c>
      <c r="I95" s="591"/>
      <c r="J95" s="591"/>
      <c r="K95" s="399"/>
    </row>
    <row r="96" spans="2:11">
      <c r="B96" s="590">
        <v>91</v>
      </c>
      <c r="C96" s="1034" t="s">
        <v>1390</v>
      </c>
      <c r="D96" s="1035" t="s">
        <v>964</v>
      </c>
      <c r="E96" s="1035" t="s">
        <v>2015</v>
      </c>
      <c r="F96" s="1036">
        <v>1</v>
      </c>
      <c r="G96" s="1035">
        <v>132</v>
      </c>
      <c r="H96" s="736">
        <v>30</v>
      </c>
      <c r="I96" s="591"/>
      <c r="J96" s="591"/>
      <c r="K96" s="399"/>
    </row>
    <row r="97" spans="2:11">
      <c r="B97" s="590">
        <v>92</v>
      </c>
      <c r="C97" s="1034" t="s">
        <v>1383</v>
      </c>
      <c r="D97" s="1035" t="s">
        <v>964</v>
      </c>
      <c r="E97" s="1035" t="s">
        <v>2015</v>
      </c>
      <c r="F97" s="1036">
        <v>1</v>
      </c>
      <c r="G97" s="1035">
        <v>132</v>
      </c>
      <c r="H97" s="736">
        <v>56</v>
      </c>
      <c r="I97" s="591"/>
      <c r="J97" s="591"/>
      <c r="K97" s="399"/>
    </row>
    <row r="98" spans="2:11">
      <c r="B98" s="590">
        <v>93</v>
      </c>
      <c r="C98" s="1034" t="s">
        <v>1384</v>
      </c>
      <c r="D98" s="1035" t="s">
        <v>964</v>
      </c>
      <c r="E98" s="1035" t="s">
        <v>2015</v>
      </c>
      <c r="F98" s="1036">
        <v>1</v>
      </c>
      <c r="G98" s="1035">
        <v>132</v>
      </c>
      <c r="H98" s="739">
        <v>50</v>
      </c>
      <c r="I98" s="591"/>
      <c r="J98" s="591"/>
      <c r="K98" s="399"/>
    </row>
    <row r="99" spans="2:11">
      <c r="B99" s="590">
        <v>94</v>
      </c>
      <c r="C99" s="1038" t="s">
        <v>1388</v>
      </c>
      <c r="D99" s="1035" t="s">
        <v>964</v>
      </c>
      <c r="E99" s="1035" t="s">
        <v>2015</v>
      </c>
      <c r="F99" s="1036">
        <v>1</v>
      </c>
      <c r="G99" s="1035">
        <v>132</v>
      </c>
      <c r="H99" s="739">
        <v>15</v>
      </c>
      <c r="I99" s="591"/>
      <c r="J99" s="591"/>
      <c r="K99" s="399"/>
    </row>
    <row r="100" spans="2:11">
      <c r="B100" s="590">
        <v>95</v>
      </c>
      <c r="C100" s="1034" t="s">
        <v>2041</v>
      </c>
      <c r="D100" s="1035" t="s">
        <v>964</v>
      </c>
      <c r="E100" s="1035" t="s">
        <v>2017</v>
      </c>
      <c r="F100" s="1036">
        <v>1</v>
      </c>
      <c r="G100" s="1035">
        <v>132</v>
      </c>
      <c r="H100" s="737">
        <v>2</v>
      </c>
      <c r="I100" s="591"/>
      <c r="J100" s="591"/>
      <c r="K100" s="399"/>
    </row>
    <row r="101" spans="2:11">
      <c r="B101" s="590">
        <v>96</v>
      </c>
      <c r="C101" s="1034" t="s">
        <v>1386</v>
      </c>
      <c r="D101" s="1035" t="s">
        <v>964</v>
      </c>
      <c r="E101" s="1035" t="s">
        <v>2015</v>
      </c>
      <c r="F101" s="1036">
        <v>1</v>
      </c>
      <c r="G101" s="1035">
        <v>132</v>
      </c>
      <c r="H101" s="726">
        <v>3</v>
      </c>
      <c r="I101" s="591"/>
      <c r="J101" s="591"/>
    </row>
    <row r="102" spans="2:11">
      <c r="B102" s="590">
        <v>97</v>
      </c>
      <c r="C102" s="1034" t="s">
        <v>1387</v>
      </c>
      <c r="D102" s="1035" t="s">
        <v>964</v>
      </c>
      <c r="E102" s="1035" t="s">
        <v>2015</v>
      </c>
      <c r="F102" s="1036">
        <v>1</v>
      </c>
      <c r="G102" s="1035">
        <v>132</v>
      </c>
      <c r="H102" s="737">
        <v>57</v>
      </c>
      <c r="I102" s="591"/>
      <c r="J102" s="591"/>
    </row>
    <row r="103" spans="2:11">
      <c r="B103" s="590">
        <v>98</v>
      </c>
      <c r="C103" s="1034" t="s">
        <v>1385</v>
      </c>
      <c r="D103" s="1035" t="s">
        <v>964</v>
      </c>
      <c r="E103" s="1035" t="s">
        <v>2015</v>
      </c>
      <c r="F103" s="1036">
        <v>1</v>
      </c>
      <c r="G103" s="1035">
        <v>132</v>
      </c>
      <c r="H103" s="737">
        <v>61.5</v>
      </c>
      <c r="I103" s="591"/>
      <c r="J103" s="591"/>
    </row>
    <row r="104" spans="2:11">
      <c r="B104" s="590">
        <v>99</v>
      </c>
      <c r="C104" s="1034" t="s">
        <v>1340</v>
      </c>
      <c r="D104" s="1035" t="s">
        <v>964</v>
      </c>
      <c r="E104" s="1035" t="s">
        <v>2015</v>
      </c>
      <c r="F104" s="1036">
        <v>1</v>
      </c>
      <c r="G104" s="1035">
        <v>132</v>
      </c>
      <c r="H104" s="737">
        <v>45</v>
      </c>
      <c r="I104" s="591"/>
      <c r="J104" s="591"/>
    </row>
    <row r="105" spans="2:11">
      <c r="B105" s="590">
        <v>100</v>
      </c>
      <c r="C105" s="1034" t="s">
        <v>1341</v>
      </c>
      <c r="D105" s="1035" t="s">
        <v>964</v>
      </c>
      <c r="E105" s="1035" t="s">
        <v>2015</v>
      </c>
      <c r="F105" s="1036">
        <v>1</v>
      </c>
      <c r="G105" s="1035">
        <v>132</v>
      </c>
      <c r="H105" s="737">
        <v>23.5</v>
      </c>
      <c r="I105" s="591"/>
      <c r="J105" s="591"/>
    </row>
    <row r="106" spans="2:11">
      <c r="B106" s="590">
        <v>101</v>
      </c>
      <c r="C106" s="972" t="s">
        <v>2042</v>
      </c>
      <c r="D106" s="1035" t="s">
        <v>964</v>
      </c>
      <c r="E106" s="1035" t="s">
        <v>2017</v>
      </c>
      <c r="F106" s="1036">
        <v>1</v>
      </c>
      <c r="G106" s="1035">
        <v>132</v>
      </c>
      <c r="H106" s="726">
        <v>50.98</v>
      </c>
      <c r="I106" s="591"/>
      <c r="J106" s="591"/>
    </row>
    <row r="107" spans="2:11">
      <c r="B107" s="590">
        <v>102</v>
      </c>
      <c r="C107" s="1034" t="s">
        <v>2043</v>
      </c>
      <c r="D107" s="1035" t="s">
        <v>964</v>
      </c>
      <c r="E107" s="1035" t="s">
        <v>2017</v>
      </c>
      <c r="F107" s="1036">
        <v>1</v>
      </c>
      <c r="G107" s="1035">
        <v>132</v>
      </c>
      <c r="H107" s="737">
        <v>66</v>
      </c>
      <c r="I107" s="591"/>
      <c r="J107" s="591"/>
    </row>
    <row r="108" spans="2:11">
      <c r="B108" s="590">
        <v>103</v>
      </c>
      <c r="C108" s="1034" t="s">
        <v>2044</v>
      </c>
      <c r="D108" s="1035" t="s">
        <v>964</v>
      </c>
      <c r="E108" s="1035" t="s">
        <v>2017</v>
      </c>
      <c r="F108" s="1036">
        <v>1</v>
      </c>
      <c r="G108" s="1035">
        <v>132</v>
      </c>
      <c r="H108" s="726">
        <v>104</v>
      </c>
      <c r="I108" s="591"/>
      <c r="J108" s="591"/>
    </row>
    <row r="109" spans="2:11">
      <c r="B109" s="590">
        <v>104</v>
      </c>
      <c r="C109" s="1034" t="s">
        <v>2045</v>
      </c>
      <c r="D109" s="1035" t="s">
        <v>964</v>
      </c>
      <c r="E109" s="1035" t="s">
        <v>2017</v>
      </c>
      <c r="F109" s="1036">
        <v>1</v>
      </c>
      <c r="G109" s="1035">
        <v>132</v>
      </c>
      <c r="H109" s="737">
        <v>50</v>
      </c>
      <c r="I109" s="591"/>
      <c r="J109" s="591"/>
    </row>
    <row r="110" spans="2:11">
      <c r="B110" s="590">
        <v>105</v>
      </c>
      <c r="C110" s="1034" t="s">
        <v>1336</v>
      </c>
      <c r="D110" s="1035" t="s">
        <v>964</v>
      </c>
      <c r="E110" s="1035" t="s">
        <v>2015</v>
      </c>
      <c r="F110" s="1036">
        <v>1</v>
      </c>
      <c r="G110" s="1035">
        <v>132</v>
      </c>
      <c r="H110" s="737">
        <v>35</v>
      </c>
      <c r="I110" s="591"/>
      <c r="J110" s="591"/>
    </row>
    <row r="111" spans="2:11">
      <c r="B111" s="590">
        <v>106</v>
      </c>
      <c r="C111" s="1034" t="s">
        <v>2046</v>
      </c>
      <c r="D111" s="1035" t="s">
        <v>964</v>
      </c>
      <c r="E111" s="1035" t="s">
        <v>2017</v>
      </c>
      <c r="F111" s="1036">
        <v>1</v>
      </c>
      <c r="G111" s="1035">
        <v>132</v>
      </c>
      <c r="H111" s="279">
        <v>72.44</v>
      </c>
      <c r="I111" s="591"/>
      <c r="J111" s="591"/>
    </row>
    <row r="112" spans="2:11">
      <c r="B112" s="590">
        <v>107</v>
      </c>
      <c r="C112" s="1034" t="s">
        <v>1339</v>
      </c>
      <c r="D112" s="1035" t="s">
        <v>964</v>
      </c>
      <c r="E112" s="1035" t="s">
        <v>2015</v>
      </c>
      <c r="F112" s="1036">
        <v>1</v>
      </c>
      <c r="G112" s="1035">
        <v>132</v>
      </c>
      <c r="H112" s="279">
        <v>46.6</v>
      </c>
      <c r="I112" s="591"/>
      <c r="J112" s="591"/>
    </row>
    <row r="113" spans="2:10">
      <c r="B113" s="590">
        <v>108</v>
      </c>
      <c r="C113" s="1034" t="s">
        <v>1328</v>
      </c>
      <c r="D113" s="1035" t="s">
        <v>964</v>
      </c>
      <c r="E113" s="1035" t="s">
        <v>2015</v>
      </c>
      <c r="F113" s="1036">
        <v>1</v>
      </c>
      <c r="G113" s="1035">
        <v>132</v>
      </c>
      <c r="H113" s="725">
        <v>32</v>
      </c>
      <c r="I113" s="591"/>
      <c r="J113" s="591"/>
    </row>
    <row r="114" spans="2:10">
      <c r="B114" s="590">
        <v>109</v>
      </c>
      <c r="C114" s="1034" t="s">
        <v>1337</v>
      </c>
      <c r="D114" s="1035" t="s">
        <v>964</v>
      </c>
      <c r="E114" s="1035" t="s">
        <v>2015</v>
      </c>
      <c r="F114" s="1036">
        <v>1</v>
      </c>
      <c r="G114" s="1035">
        <v>132</v>
      </c>
      <c r="H114" s="736">
        <v>6</v>
      </c>
      <c r="I114" s="591"/>
      <c r="J114" s="591"/>
    </row>
    <row r="115" spans="2:10">
      <c r="B115" s="590">
        <v>110</v>
      </c>
      <c r="C115" s="1038" t="s">
        <v>1338</v>
      </c>
      <c r="D115" s="1035" t="s">
        <v>964</v>
      </c>
      <c r="E115" s="1035" t="s">
        <v>2015</v>
      </c>
      <c r="F115" s="1036">
        <v>1</v>
      </c>
      <c r="G115" s="1035">
        <v>132</v>
      </c>
      <c r="H115" s="736">
        <v>26.7</v>
      </c>
      <c r="I115" s="591"/>
      <c r="J115" s="591"/>
    </row>
    <row r="116" spans="2:10">
      <c r="B116" s="590">
        <v>111</v>
      </c>
      <c r="C116" s="1042" t="s">
        <v>2047</v>
      </c>
      <c r="D116" s="1035" t="s">
        <v>964</v>
      </c>
      <c r="E116" s="1035" t="s">
        <v>2017</v>
      </c>
      <c r="F116" s="1036">
        <v>1</v>
      </c>
      <c r="G116" s="1035">
        <v>132</v>
      </c>
      <c r="H116" s="726">
        <v>121.2</v>
      </c>
      <c r="I116" s="591"/>
      <c r="J116" s="591"/>
    </row>
    <row r="117" spans="2:10">
      <c r="B117" s="590">
        <v>112</v>
      </c>
      <c r="C117" s="972" t="s">
        <v>2048</v>
      </c>
      <c r="D117" s="1035" t="s">
        <v>964</v>
      </c>
      <c r="E117" s="1035" t="s">
        <v>2017</v>
      </c>
      <c r="F117" s="1036">
        <v>1</v>
      </c>
      <c r="G117" s="1035">
        <v>132</v>
      </c>
      <c r="H117" s="736">
        <v>32</v>
      </c>
      <c r="I117" s="591"/>
      <c r="J117" s="591"/>
    </row>
    <row r="118" spans="2:10">
      <c r="B118" s="590">
        <v>113</v>
      </c>
      <c r="C118" s="1034" t="s">
        <v>1346</v>
      </c>
      <c r="D118" s="1035" t="s">
        <v>964</v>
      </c>
      <c r="E118" s="1035" t="s">
        <v>2015</v>
      </c>
      <c r="F118" s="1036">
        <v>1</v>
      </c>
      <c r="G118" s="1035">
        <v>132</v>
      </c>
      <c r="H118" s="736">
        <v>38.5</v>
      </c>
      <c r="I118" s="591"/>
      <c r="J118" s="591"/>
    </row>
    <row r="119" spans="2:10">
      <c r="B119" s="590">
        <v>114</v>
      </c>
      <c r="C119" s="1034" t="s">
        <v>1349</v>
      </c>
      <c r="D119" s="1035" t="s">
        <v>964</v>
      </c>
      <c r="E119" s="1035" t="s">
        <v>2015</v>
      </c>
      <c r="F119" s="1036">
        <v>1</v>
      </c>
      <c r="G119" s="1035">
        <v>132</v>
      </c>
      <c r="H119" s="738">
        <v>25.35</v>
      </c>
      <c r="I119" s="591"/>
      <c r="J119" s="591"/>
    </row>
    <row r="120" spans="2:10">
      <c r="B120" s="590">
        <v>115</v>
      </c>
      <c r="C120" s="1034" t="s">
        <v>1347</v>
      </c>
      <c r="D120" s="1035" t="s">
        <v>964</v>
      </c>
      <c r="E120" s="1035" t="s">
        <v>2015</v>
      </c>
      <c r="F120" s="1036">
        <v>1</v>
      </c>
      <c r="G120" s="1035">
        <v>132</v>
      </c>
      <c r="H120" s="736">
        <v>16.3</v>
      </c>
      <c r="I120" s="591"/>
      <c r="J120" s="591"/>
    </row>
    <row r="121" spans="2:10">
      <c r="B121" s="590">
        <v>116</v>
      </c>
      <c r="C121" s="1034" t="s">
        <v>1350</v>
      </c>
      <c r="D121" s="1035" t="s">
        <v>964</v>
      </c>
      <c r="E121" s="1035" t="s">
        <v>2015</v>
      </c>
      <c r="F121" s="1036">
        <v>1</v>
      </c>
      <c r="G121" s="1035">
        <v>132</v>
      </c>
      <c r="H121" s="736">
        <v>19.170000000000002</v>
      </c>
      <c r="I121" s="591"/>
      <c r="J121" s="591"/>
    </row>
    <row r="122" spans="2:10">
      <c r="B122" s="590">
        <v>117</v>
      </c>
      <c r="C122" s="1034" t="s">
        <v>1747</v>
      </c>
      <c r="D122" s="1035" t="s">
        <v>964</v>
      </c>
      <c r="E122" s="1035" t="s">
        <v>2015</v>
      </c>
      <c r="F122" s="1036">
        <v>1</v>
      </c>
      <c r="G122" s="1035">
        <v>132</v>
      </c>
      <c r="H122" s="736">
        <v>108</v>
      </c>
      <c r="I122" s="591"/>
      <c r="J122" s="591"/>
    </row>
    <row r="123" spans="2:10">
      <c r="B123" s="590">
        <v>118</v>
      </c>
      <c r="C123" s="1039" t="s">
        <v>1748</v>
      </c>
      <c r="D123" s="1035" t="s">
        <v>964</v>
      </c>
      <c r="E123" s="1035" t="s">
        <v>2015</v>
      </c>
      <c r="F123" s="1036">
        <v>1</v>
      </c>
      <c r="G123" s="1035">
        <v>132</v>
      </c>
      <c r="H123" s="726">
        <v>57</v>
      </c>
      <c r="I123" s="591"/>
      <c r="J123" s="591"/>
    </row>
    <row r="124" spans="2:10">
      <c r="B124" s="590">
        <v>119</v>
      </c>
      <c r="C124" s="972" t="s">
        <v>1749</v>
      </c>
      <c r="D124" s="1035" t="s">
        <v>964</v>
      </c>
      <c r="E124" s="1035" t="s">
        <v>2015</v>
      </c>
      <c r="F124" s="1036">
        <v>1</v>
      </c>
      <c r="G124" s="1035">
        <v>132</v>
      </c>
      <c r="H124" s="738">
        <v>56</v>
      </c>
      <c r="I124" s="591"/>
      <c r="J124" s="591"/>
    </row>
    <row r="125" spans="2:10">
      <c r="B125" s="590">
        <v>120</v>
      </c>
      <c r="C125" s="1034" t="s">
        <v>2049</v>
      </c>
      <c r="D125" s="1035" t="s">
        <v>964</v>
      </c>
      <c r="E125" s="1035" t="s">
        <v>2017</v>
      </c>
      <c r="F125" s="1036">
        <v>1</v>
      </c>
      <c r="G125" s="1035">
        <v>132</v>
      </c>
      <c r="H125" s="725">
        <v>16</v>
      </c>
      <c r="I125" s="591"/>
      <c r="J125" s="591"/>
    </row>
    <row r="126" spans="2:10">
      <c r="B126" s="590">
        <v>121</v>
      </c>
      <c r="C126" s="1034" t="s">
        <v>1382</v>
      </c>
      <c r="D126" s="1035" t="s">
        <v>964</v>
      </c>
      <c r="E126" s="1035" t="s">
        <v>2015</v>
      </c>
      <c r="F126" s="1036">
        <v>1</v>
      </c>
      <c r="G126" s="1035">
        <v>132</v>
      </c>
      <c r="H126" s="736">
        <v>27</v>
      </c>
      <c r="I126" s="591"/>
      <c r="J126" s="591"/>
    </row>
    <row r="127" spans="2:10">
      <c r="B127" s="590">
        <v>122</v>
      </c>
      <c r="C127" s="1034" t="s">
        <v>1379</v>
      </c>
      <c r="D127" s="1035" t="s">
        <v>964</v>
      </c>
      <c r="E127" s="1035" t="s">
        <v>2015</v>
      </c>
      <c r="F127" s="1036">
        <v>1</v>
      </c>
      <c r="G127" s="1035">
        <v>132</v>
      </c>
      <c r="H127" s="736">
        <v>30</v>
      </c>
      <c r="I127" s="591"/>
      <c r="J127" s="591"/>
    </row>
    <row r="128" spans="2:10">
      <c r="B128" s="590">
        <v>123</v>
      </c>
      <c r="C128" s="1034" t="s">
        <v>1750</v>
      </c>
      <c r="D128" s="1035" t="s">
        <v>964</v>
      </c>
      <c r="E128" s="1035" t="s">
        <v>2015</v>
      </c>
      <c r="F128" s="1036">
        <v>1</v>
      </c>
      <c r="G128" s="1035">
        <v>132</v>
      </c>
      <c r="H128" s="736">
        <v>38</v>
      </c>
      <c r="I128" s="591"/>
      <c r="J128" s="591"/>
    </row>
    <row r="129" spans="2:10">
      <c r="B129" s="590">
        <v>124</v>
      </c>
      <c r="C129" s="1043" t="s">
        <v>1751</v>
      </c>
      <c r="D129" s="1035" t="s">
        <v>964</v>
      </c>
      <c r="E129" s="1035" t="s">
        <v>2015</v>
      </c>
      <c r="F129" s="1036">
        <v>1</v>
      </c>
      <c r="G129" s="1035">
        <v>132</v>
      </c>
      <c r="H129" s="736">
        <v>3</v>
      </c>
      <c r="I129" s="591"/>
      <c r="J129" s="591"/>
    </row>
    <row r="130" spans="2:10">
      <c r="B130" s="590">
        <v>125</v>
      </c>
      <c r="C130" s="1042" t="s">
        <v>1752</v>
      </c>
      <c r="D130" s="1035" t="s">
        <v>964</v>
      </c>
      <c r="E130" s="1035" t="s">
        <v>2015</v>
      </c>
      <c r="F130" s="1036">
        <v>1</v>
      </c>
      <c r="G130" s="1035">
        <v>132</v>
      </c>
      <c r="H130" s="725">
        <v>1.5</v>
      </c>
      <c r="I130" s="591"/>
      <c r="J130" s="591"/>
    </row>
    <row r="131" spans="2:10">
      <c r="B131" s="590">
        <v>126</v>
      </c>
      <c r="C131" s="972" t="s">
        <v>2050</v>
      </c>
      <c r="D131" s="1035" t="s">
        <v>964</v>
      </c>
      <c r="E131" s="1035" t="s">
        <v>2017</v>
      </c>
      <c r="F131" s="1036">
        <v>1</v>
      </c>
      <c r="G131" s="1035">
        <v>132</v>
      </c>
      <c r="H131" s="725">
        <v>150</v>
      </c>
      <c r="I131" s="591"/>
      <c r="J131" s="591"/>
    </row>
    <row r="132" spans="2:10" ht="30">
      <c r="B132" s="590">
        <v>127</v>
      </c>
      <c r="C132" s="1039" t="s">
        <v>1753</v>
      </c>
      <c r="D132" s="1035" t="s">
        <v>964</v>
      </c>
      <c r="E132" s="1035" t="s">
        <v>2015</v>
      </c>
      <c r="F132" s="1036">
        <v>1</v>
      </c>
      <c r="G132" s="1035">
        <v>132</v>
      </c>
      <c r="H132" s="736">
        <v>5</v>
      </c>
      <c r="I132" s="591"/>
      <c r="J132" s="591"/>
    </row>
    <row r="133" spans="2:10">
      <c r="B133" s="590">
        <v>128</v>
      </c>
      <c r="C133" s="1034" t="s">
        <v>1344</v>
      </c>
      <c r="D133" s="1035" t="s">
        <v>964</v>
      </c>
      <c r="E133" s="1035" t="s">
        <v>2015</v>
      </c>
      <c r="F133" s="1036">
        <v>1</v>
      </c>
      <c r="G133" s="1035">
        <v>132</v>
      </c>
      <c r="H133" s="737">
        <v>67</v>
      </c>
      <c r="I133" s="591"/>
      <c r="J133" s="591"/>
    </row>
    <row r="134" spans="2:10">
      <c r="B134" s="590">
        <v>129</v>
      </c>
      <c r="C134" s="1034" t="s">
        <v>1380</v>
      </c>
      <c r="D134" s="1035" t="s">
        <v>964</v>
      </c>
      <c r="E134" s="1035" t="s">
        <v>2015</v>
      </c>
      <c r="F134" s="1036">
        <v>1</v>
      </c>
      <c r="G134" s="1035">
        <v>132</v>
      </c>
      <c r="H134" s="726">
        <v>15</v>
      </c>
      <c r="I134" s="591"/>
      <c r="J134" s="591"/>
    </row>
    <row r="135" spans="2:10">
      <c r="B135" s="590">
        <v>130</v>
      </c>
      <c r="C135" s="1044" t="s">
        <v>1381</v>
      </c>
      <c r="D135" s="1035" t="s">
        <v>964</v>
      </c>
      <c r="E135" s="1035" t="s">
        <v>2015</v>
      </c>
      <c r="F135" s="1036">
        <v>1</v>
      </c>
      <c r="G135" s="1035">
        <v>132</v>
      </c>
      <c r="H135" s="737">
        <v>42</v>
      </c>
      <c r="I135" s="591"/>
      <c r="J135" s="591"/>
    </row>
    <row r="136" spans="2:10">
      <c r="B136" s="590">
        <v>131</v>
      </c>
      <c r="C136" s="1034" t="s">
        <v>1345</v>
      </c>
      <c r="D136" s="1035" t="s">
        <v>964</v>
      </c>
      <c r="E136" s="1035" t="s">
        <v>2015</v>
      </c>
      <c r="F136" s="1036">
        <v>1</v>
      </c>
      <c r="G136" s="1035">
        <v>132</v>
      </c>
      <c r="H136" s="737">
        <v>40</v>
      </c>
      <c r="I136" s="591"/>
      <c r="J136" s="591"/>
    </row>
    <row r="137" spans="2:10">
      <c r="B137" s="590">
        <v>132</v>
      </c>
      <c r="C137" s="1042" t="s">
        <v>1754</v>
      </c>
      <c r="D137" s="1035" t="s">
        <v>964</v>
      </c>
      <c r="E137" s="1035" t="s">
        <v>2015</v>
      </c>
      <c r="F137" s="1036">
        <v>1</v>
      </c>
      <c r="G137" s="1035">
        <v>132</v>
      </c>
      <c r="H137" s="736">
        <v>19.5</v>
      </c>
      <c r="I137" s="591"/>
      <c r="J137" s="591"/>
    </row>
    <row r="138" spans="2:10">
      <c r="B138" s="590">
        <v>133</v>
      </c>
      <c r="C138" s="1034" t="s">
        <v>1348</v>
      </c>
      <c r="D138" s="1035" t="s">
        <v>964</v>
      </c>
      <c r="E138" s="1035" t="s">
        <v>2015</v>
      </c>
      <c r="F138" s="1036">
        <v>1</v>
      </c>
      <c r="G138" s="1035">
        <v>132</v>
      </c>
      <c r="H138" s="279">
        <v>36</v>
      </c>
      <c r="I138" s="591"/>
      <c r="J138" s="591"/>
    </row>
    <row r="139" spans="2:10">
      <c r="B139" s="590">
        <v>134</v>
      </c>
      <c r="C139" s="972" t="s">
        <v>2051</v>
      </c>
      <c r="D139" s="1035" t="s">
        <v>964</v>
      </c>
      <c r="E139" s="1035" t="s">
        <v>2017</v>
      </c>
      <c r="F139" s="1036">
        <v>1</v>
      </c>
      <c r="G139" s="1035">
        <v>132</v>
      </c>
      <c r="H139" s="725">
        <v>20.04</v>
      </c>
      <c r="I139" s="591"/>
      <c r="J139" s="591"/>
    </row>
    <row r="140" spans="2:10">
      <c r="B140" s="590">
        <v>135</v>
      </c>
      <c r="C140" s="1034" t="s">
        <v>2052</v>
      </c>
      <c r="D140" s="1035" t="s">
        <v>964</v>
      </c>
      <c r="E140" s="1035" t="s">
        <v>2017</v>
      </c>
      <c r="F140" s="1036">
        <v>1</v>
      </c>
      <c r="G140" s="1035">
        <v>132</v>
      </c>
      <c r="H140" s="736">
        <v>134.54</v>
      </c>
      <c r="I140" s="591"/>
      <c r="J140" s="591"/>
    </row>
    <row r="141" spans="2:10">
      <c r="B141" s="590">
        <v>136</v>
      </c>
      <c r="C141" s="1034" t="s">
        <v>1312</v>
      </c>
      <c r="D141" s="1035" t="s">
        <v>964</v>
      </c>
      <c r="E141" s="1035" t="s">
        <v>2015</v>
      </c>
      <c r="F141" s="1036">
        <v>1</v>
      </c>
      <c r="G141" s="1035">
        <v>132</v>
      </c>
      <c r="H141" s="737">
        <v>33</v>
      </c>
      <c r="I141" s="591"/>
      <c r="J141" s="591"/>
    </row>
    <row r="142" spans="2:10">
      <c r="B142" s="590">
        <v>137</v>
      </c>
      <c r="C142" s="1034" t="s">
        <v>1308</v>
      </c>
      <c r="D142" s="1035" t="s">
        <v>964</v>
      </c>
      <c r="E142" s="1035" t="s">
        <v>2015</v>
      </c>
      <c r="F142" s="1036">
        <v>1</v>
      </c>
      <c r="G142" s="1035">
        <v>132</v>
      </c>
      <c r="H142" s="737">
        <v>27</v>
      </c>
      <c r="I142" s="591"/>
      <c r="J142" s="591"/>
    </row>
    <row r="143" spans="2:10">
      <c r="B143" s="590">
        <v>138</v>
      </c>
      <c r="C143" s="972" t="s">
        <v>1755</v>
      </c>
      <c r="D143" s="1035" t="s">
        <v>964</v>
      </c>
      <c r="E143" s="1035" t="s">
        <v>2015</v>
      </c>
      <c r="F143" s="1036">
        <v>1</v>
      </c>
      <c r="G143" s="1035">
        <v>132</v>
      </c>
      <c r="H143" s="737">
        <v>60</v>
      </c>
      <c r="I143" s="591"/>
      <c r="J143" s="591"/>
    </row>
    <row r="144" spans="2:10">
      <c r="B144" s="590">
        <v>139</v>
      </c>
      <c r="C144" s="1034" t="s">
        <v>1296</v>
      </c>
      <c r="D144" s="1035" t="s">
        <v>964</v>
      </c>
      <c r="E144" s="1035" t="s">
        <v>2015</v>
      </c>
      <c r="F144" s="1036">
        <v>1</v>
      </c>
      <c r="G144" s="1035">
        <v>132</v>
      </c>
      <c r="H144" s="737">
        <v>60</v>
      </c>
      <c r="I144" s="593"/>
      <c r="J144" s="593"/>
    </row>
    <row r="145" spans="2:10">
      <c r="B145" s="590">
        <v>140</v>
      </c>
      <c r="C145" s="1034" t="s">
        <v>2053</v>
      </c>
      <c r="D145" s="1035" t="s">
        <v>964</v>
      </c>
      <c r="E145" s="1035" t="s">
        <v>2017</v>
      </c>
      <c r="F145" s="1036">
        <v>1</v>
      </c>
      <c r="G145" s="1035">
        <v>132</v>
      </c>
      <c r="H145" s="279">
        <v>36</v>
      </c>
      <c r="I145" s="593"/>
      <c r="J145" s="593"/>
    </row>
    <row r="146" spans="2:10">
      <c r="B146" s="590">
        <v>141</v>
      </c>
      <c r="C146" s="1038" t="s">
        <v>1313</v>
      </c>
      <c r="D146" s="1035" t="s">
        <v>964</v>
      </c>
      <c r="E146" s="1035" t="s">
        <v>2015</v>
      </c>
      <c r="F146" s="1036">
        <v>1</v>
      </c>
      <c r="G146" s="1035">
        <v>132</v>
      </c>
      <c r="H146" s="736">
        <v>1</v>
      </c>
      <c r="I146" s="593"/>
      <c r="J146" s="593"/>
    </row>
    <row r="147" spans="2:10">
      <c r="B147" s="590">
        <v>142</v>
      </c>
      <c r="C147" s="972" t="s">
        <v>1756</v>
      </c>
      <c r="D147" s="1035" t="s">
        <v>964</v>
      </c>
      <c r="E147" s="1035" t="s">
        <v>2015</v>
      </c>
      <c r="F147" s="1036">
        <v>1</v>
      </c>
      <c r="G147" s="1035">
        <v>132</v>
      </c>
      <c r="H147" s="725">
        <v>1</v>
      </c>
      <c r="I147" s="591"/>
      <c r="J147" s="591"/>
    </row>
    <row r="148" spans="2:10">
      <c r="B148" s="590">
        <v>143</v>
      </c>
      <c r="C148" s="1034" t="s">
        <v>1757</v>
      </c>
      <c r="D148" s="1035" t="s">
        <v>964</v>
      </c>
      <c r="E148" s="1035" t="s">
        <v>2015</v>
      </c>
      <c r="F148" s="1036">
        <v>1</v>
      </c>
      <c r="G148" s="1035">
        <v>132</v>
      </c>
      <c r="H148" s="737">
        <v>1</v>
      </c>
      <c r="I148" s="591"/>
      <c r="J148" s="591"/>
    </row>
    <row r="149" spans="2:10">
      <c r="B149" s="590">
        <v>144</v>
      </c>
      <c r="C149" s="1034" t="s">
        <v>1309</v>
      </c>
      <c r="D149" s="1035" t="s">
        <v>964</v>
      </c>
      <c r="E149" s="1035" t="s">
        <v>2015</v>
      </c>
      <c r="F149" s="1036">
        <v>1</v>
      </c>
      <c r="G149" s="1035">
        <v>132</v>
      </c>
      <c r="H149" s="736">
        <v>34</v>
      </c>
      <c r="I149" s="591"/>
      <c r="J149" s="591"/>
    </row>
    <row r="150" spans="2:10">
      <c r="B150" s="590">
        <v>145</v>
      </c>
      <c r="C150" s="1034" t="s">
        <v>2054</v>
      </c>
      <c r="D150" s="1035" t="s">
        <v>964</v>
      </c>
      <c r="E150" s="1035" t="s">
        <v>2017</v>
      </c>
      <c r="F150" s="1036">
        <v>1</v>
      </c>
      <c r="G150" s="1035">
        <v>132</v>
      </c>
      <c r="H150" s="736">
        <v>53.4</v>
      </c>
      <c r="I150" s="591"/>
      <c r="J150" s="591"/>
    </row>
    <row r="151" spans="2:10">
      <c r="B151" s="590">
        <v>146</v>
      </c>
      <c r="C151" s="972" t="s">
        <v>2055</v>
      </c>
      <c r="D151" s="1035" t="s">
        <v>964</v>
      </c>
      <c r="E151" s="1035" t="s">
        <v>2017</v>
      </c>
      <c r="F151" s="1036">
        <v>1</v>
      </c>
      <c r="G151" s="1035">
        <v>132</v>
      </c>
      <c r="H151" s="736">
        <v>52.6</v>
      </c>
      <c r="I151" s="591"/>
      <c r="J151" s="591"/>
    </row>
    <row r="152" spans="2:10">
      <c r="B152" s="590">
        <v>147</v>
      </c>
      <c r="C152" s="972" t="s">
        <v>1280</v>
      </c>
      <c r="D152" s="1035" t="s">
        <v>964</v>
      </c>
      <c r="E152" s="1035" t="s">
        <v>2015</v>
      </c>
      <c r="F152" s="1036">
        <v>1</v>
      </c>
      <c r="G152" s="1035">
        <v>132</v>
      </c>
      <c r="H152" s="725">
        <v>2.83</v>
      </c>
      <c r="I152" s="591"/>
      <c r="J152" s="591"/>
    </row>
    <row r="153" spans="2:10">
      <c r="B153" s="590">
        <v>148</v>
      </c>
      <c r="C153" s="972" t="s">
        <v>1281</v>
      </c>
      <c r="D153" s="1035" t="s">
        <v>964</v>
      </c>
      <c r="E153" s="1035" t="s">
        <v>2015</v>
      </c>
      <c r="F153" s="1036">
        <v>1</v>
      </c>
      <c r="G153" s="1035">
        <v>132</v>
      </c>
      <c r="H153" s="736">
        <v>2.83</v>
      </c>
      <c r="I153" s="591"/>
      <c r="J153" s="591"/>
    </row>
    <row r="154" spans="2:10">
      <c r="B154" s="590">
        <v>149</v>
      </c>
      <c r="C154" s="1038" t="s">
        <v>1311</v>
      </c>
      <c r="D154" s="1035" t="s">
        <v>964</v>
      </c>
      <c r="E154" s="1035" t="s">
        <v>2015</v>
      </c>
      <c r="F154" s="1036">
        <v>1</v>
      </c>
      <c r="G154" s="1035">
        <v>132</v>
      </c>
      <c r="H154" s="736">
        <v>41</v>
      </c>
      <c r="I154" s="591"/>
      <c r="J154" s="591"/>
    </row>
    <row r="155" spans="2:10">
      <c r="B155" s="590">
        <v>150</v>
      </c>
      <c r="C155" s="972" t="s">
        <v>1275</v>
      </c>
      <c r="D155" s="1035" t="s">
        <v>964</v>
      </c>
      <c r="E155" s="1035" t="s">
        <v>2015</v>
      </c>
      <c r="F155" s="1036">
        <v>1</v>
      </c>
      <c r="G155" s="1035">
        <v>132</v>
      </c>
      <c r="H155" s="736">
        <v>7</v>
      </c>
      <c r="I155" s="591"/>
      <c r="J155" s="591"/>
    </row>
    <row r="156" spans="2:10">
      <c r="B156" s="590">
        <v>151</v>
      </c>
      <c r="C156" s="1034" t="s">
        <v>1310</v>
      </c>
      <c r="D156" s="1035" t="s">
        <v>964</v>
      </c>
      <c r="E156" s="1035" t="s">
        <v>2015</v>
      </c>
      <c r="F156" s="1036">
        <v>1</v>
      </c>
      <c r="G156" s="1035">
        <v>132</v>
      </c>
      <c r="H156" s="736">
        <v>4.01</v>
      </c>
      <c r="I156" s="591"/>
      <c r="J156" s="591"/>
    </row>
    <row r="157" spans="2:10">
      <c r="B157" s="590">
        <v>152</v>
      </c>
      <c r="C157" s="972" t="s">
        <v>1272</v>
      </c>
      <c r="D157" s="1035" t="s">
        <v>964</v>
      </c>
      <c r="E157" s="1035" t="s">
        <v>2015</v>
      </c>
      <c r="F157" s="1036">
        <v>1</v>
      </c>
      <c r="G157" s="1035">
        <v>132</v>
      </c>
      <c r="H157" s="736">
        <v>1</v>
      </c>
      <c r="I157" s="591"/>
      <c r="J157" s="591"/>
    </row>
    <row r="158" spans="2:10">
      <c r="B158" s="590">
        <v>153</v>
      </c>
      <c r="C158" s="1034" t="s">
        <v>1297</v>
      </c>
      <c r="D158" s="1035" t="s">
        <v>964</v>
      </c>
      <c r="E158" s="1035" t="s">
        <v>2015</v>
      </c>
      <c r="F158" s="1036">
        <v>1</v>
      </c>
      <c r="G158" s="1035">
        <v>132</v>
      </c>
      <c r="H158" s="279">
        <v>1</v>
      </c>
      <c r="I158" s="591"/>
      <c r="J158" s="591"/>
    </row>
    <row r="159" spans="2:10">
      <c r="B159" s="590">
        <v>154</v>
      </c>
      <c r="C159" s="1034" t="s">
        <v>2056</v>
      </c>
      <c r="D159" s="1035" t="s">
        <v>964</v>
      </c>
      <c r="E159" s="1035" t="s">
        <v>2017</v>
      </c>
      <c r="F159" s="1036">
        <v>1</v>
      </c>
      <c r="G159" s="1035">
        <v>132</v>
      </c>
      <c r="H159" s="736">
        <v>74.400000000000006</v>
      </c>
      <c r="I159" s="591"/>
      <c r="J159" s="591"/>
    </row>
    <row r="160" spans="2:10">
      <c r="B160" s="590">
        <v>155</v>
      </c>
      <c r="C160" s="972" t="s">
        <v>2057</v>
      </c>
      <c r="D160" s="1035" t="s">
        <v>964</v>
      </c>
      <c r="E160" s="1035" t="s">
        <v>2017</v>
      </c>
      <c r="F160" s="1036">
        <v>1</v>
      </c>
      <c r="G160" s="1035">
        <v>132</v>
      </c>
      <c r="H160" s="725">
        <v>117.2</v>
      </c>
      <c r="I160" s="591"/>
      <c r="J160" s="591"/>
    </row>
    <row r="161" spans="2:10">
      <c r="B161" s="590">
        <v>156</v>
      </c>
      <c r="C161" s="1034" t="s">
        <v>1399</v>
      </c>
      <c r="D161" s="1035" t="s">
        <v>964</v>
      </c>
      <c r="E161" s="1035" t="s">
        <v>2015</v>
      </c>
      <c r="F161" s="1036">
        <v>1</v>
      </c>
      <c r="G161" s="1035">
        <v>132</v>
      </c>
      <c r="H161" s="738">
        <v>18.2</v>
      </c>
      <c r="I161" s="591"/>
      <c r="J161" s="591"/>
    </row>
    <row r="162" spans="2:10">
      <c r="B162" s="590">
        <v>157</v>
      </c>
      <c r="C162" s="1034" t="s">
        <v>1403</v>
      </c>
      <c r="D162" s="1035" t="s">
        <v>964</v>
      </c>
      <c r="E162" s="1035" t="s">
        <v>2015</v>
      </c>
      <c r="F162" s="1036">
        <v>1</v>
      </c>
      <c r="G162" s="1035">
        <v>132</v>
      </c>
      <c r="H162" s="738">
        <v>18.8</v>
      </c>
      <c r="I162" s="591"/>
      <c r="J162" s="591"/>
    </row>
    <row r="163" spans="2:10">
      <c r="B163" s="590">
        <v>158</v>
      </c>
      <c r="C163" s="1034" t="s">
        <v>1406</v>
      </c>
      <c r="D163" s="1035" t="s">
        <v>964</v>
      </c>
      <c r="E163" s="1035" t="s">
        <v>2015</v>
      </c>
      <c r="F163" s="1036">
        <v>1</v>
      </c>
      <c r="G163" s="1035">
        <v>132</v>
      </c>
      <c r="H163" s="726">
        <v>48</v>
      </c>
      <c r="I163" s="591"/>
      <c r="J163" s="591"/>
    </row>
    <row r="164" spans="2:10">
      <c r="B164" s="590">
        <v>159</v>
      </c>
      <c r="C164" s="1034" t="s">
        <v>1400</v>
      </c>
      <c r="D164" s="1035" t="s">
        <v>964</v>
      </c>
      <c r="E164" s="1035" t="s">
        <v>2015</v>
      </c>
      <c r="F164" s="1036">
        <v>1</v>
      </c>
      <c r="G164" s="1035">
        <v>132</v>
      </c>
      <c r="H164" s="725">
        <v>55</v>
      </c>
      <c r="I164" s="591"/>
      <c r="J164" s="591"/>
    </row>
    <row r="165" spans="2:10">
      <c r="B165" s="590">
        <v>160</v>
      </c>
      <c r="C165" s="1038" t="s">
        <v>1401</v>
      </c>
      <c r="D165" s="1035" t="s">
        <v>964</v>
      </c>
      <c r="E165" s="1035" t="s">
        <v>2015</v>
      </c>
      <c r="F165" s="1036">
        <v>1</v>
      </c>
      <c r="G165" s="1035">
        <v>132</v>
      </c>
      <c r="H165" s="736">
        <v>26</v>
      </c>
      <c r="I165" s="591"/>
      <c r="J165" s="591"/>
    </row>
    <row r="166" spans="2:10">
      <c r="B166" s="590">
        <v>161</v>
      </c>
      <c r="C166" s="972" t="s">
        <v>2058</v>
      </c>
      <c r="D166" s="1035" t="s">
        <v>964</v>
      </c>
      <c r="E166" s="1035" t="s">
        <v>2017</v>
      </c>
      <c r="F166" s="1036">
        <v>1</v>
      </c>
      <c r="G166" s="1035">
        <v>132</v>
      </c>
      <c r="H166" s="736">
        <v>78</v>
      </c>
      <c r="I166" s="591"/>
      <c r="J166" s="591"/>
    </row>
    <row r="167" spans="2:10">
      <c r="B167" s="590">
        <v>162</v>
      </c>
      <c r="C167" s="1034" t="s">
        <v>1402</v>
      </c>
      <c r="D167" s="1035" t="s">
        <v>964</v>
      </c>
      <c r="E167" s="1035" t="s">
        <v>2015</v>
      </c>
      <c r="F167" s="1036">
        <v>1</v>
      </c>
      <c r="G167" s="1035">
        <v>132</v>
      </c>
      <c r="H167" s="736">
        <v>43</v>
      </c>
      <c r="I167" s="591"/>
      <c r="J167" s="591"/>
    </row>
    <row r="168" spans="2:10">
      <c r="B168" s="590">
        <v>163</v>
      </c>
      <c r="C168" s="1034" t="s">
        <v>1397</v>
      </c>
      <c r="D168" s="1035" t="s">
        <v>964</v>
      </c>
      <c r="E168" s="1035" t="s">
        <v>2015</v>
      </c>
      <c r="F168" s="1036">
        <v>1</v>
      </c>
      <c r="G168" s="1035">
        <v>132</v>
      </c>
      <c r="H168" s="736">
        <v>27</v>
      </c>
      <c r="I168" s="591"/>
      <c r="J168" s="591"/>
    </row>
    <row r="169" spans="2:10">
      <c r="B169" s="590">
        <v>164</v>
      </c>
      <c r="C169" s="1034" t="s">
        <v>1398</v>
      </c>
      <c r="D169" s="1035" t="s">
        <v>964</v>
      </c>
      <c r="E169" s="1035" t="s">
        <v>2015</v>
      </c>
      <c r="F169" s="1036">
        <v>1</v>
      </c>
      <c r="G169" s="1035">
        <v>132</v>
      </c>
      <c r="H169" s="737">
        <v>55</v>
      </c>
      <c r="I169" s="591"/>
      <c r="J169" s="591"/>
    </row>
    <row r="170" spans="2:10">
      <c r="B170" s="590">
        <v>165</v>
      </c>
      <c r="C170" s="1034" t="s">
        <v>2059</v>
      </c>
      <c r="D170" s="1035" t="s">
        <v>964</v>
      </c>
      <c r="E170" s="1035" t="s">
        <v>2017</v>
      </c>
      <c r="F170" s="1036">
        <v>1</v>
      </c>
      <c r="G170" s="1035">
        <v>132</v>
      </c>
      <c r="H170" s="725">
        <v>54</v>
      </c>
      <c r="I170" s="591"/>
      <c r="J170" s="591"/>
    </row>
    <row r="171" spans="2:10">
      <c r="B171" s="590">
        <v>166</v>
      </c>
      <c r="C171" s="1034" t="s">
        <v>1404</v>
      </c>
      <c r="D171" s="1035" t="s">
        <v>964</v>
      </c>
      <c r="E171" s="1035" t="s">
        <v>2015</v>
      </c>
      <c r="F171" s="1036">
        <v>1</v>
      </c>
      <c r="G171" s="1035">
        <v>132</v>
      </c>
      <c r="H171" s="736">
        <v>71</v>
      </c>
      <c r="I171" s="591"/>
      <c r="J171" s="591"/>
    </row>
    <row r="172" spans="2:10">
      <c r="B172" s="590">
        <v>167</v>
      </c>
      <c r="C172" s="1034" t="s">
        <v>1405</v>
      </c>
      <c r="D172" s="1035" t="s">
        <v>964</v>
      </c>
      <c r="E172" s="1035" t="s">
        <v>2015</v>
      </c>
      <c r="F172" s="1036">
        <v>1</v>
      </c>
      <c r="G172" s="1035">
        <v>132</v>
      </c>
      <c r="H172" s="736">
        <v>35</v>
      </c>
      <c r="I172" s="591"/>
      <c r="J172" s="591"/>
    </row>
    <row r="173" spans="2:10">
      <c r="B173" s="590">
        <v>168</v>
      </c>
      <c r="C173" s="1043" t="s">
        <v>1758</v>
      </c>
      <c r="D173" s="1035" t="s">
        <v>964</v>
      </c>
      <c r="E173" s="1035" t="s">
        <v>2015</v>
      </c>
      <c r="F173" s="1036">
        <v>1</v>
      </c>
      <c r="G173" s="1035">
        <v>132</v>
      </c>
      <c r="H173" s="736">
        <v>8.5</v>
      </c>
      <c r="I173" s="591"/>
      <c r="J173" s="591"/>
    </row>
    <row r="174" spans="2:10">
      <c r="B174" s="590">
        <v>169</v>
      </c>
      <c r="C174" s="972" t="s">
        <v>2060</v>
      </c>
      <c r="D174" s="1035" t="s">
        <v>964</v>
      </c>
      <c r="E174" s="1035" t="s">
        <v>2017</v>
      </c>
      <c r="F174" s="1036">
        <v>1</v>
      </c>
      <c r="G174" s="1035">
        <v>132</v>
      </c>
      <c r="H174" s="737">
        <v>80</v>
      </c>
      <c r="I174" s="593"/>
      <c r="J174" s="593"/>
    </row>
    <row r="175" spans="2:10">
      <c r="B175" s="590">
        <v>170</v>
      </c>
      <c r="C175" s="1034" t="s">
        <v>1759</v>
      </c>
      <c r="D175" s="1035" t="s">
        <v>964</v>
      </c>
      <c r="E175" s="1035" t="s">
        <v>2015</v>
      </c>
      <c r="F175" s="1036">
        <v>1</v>
      </c>
      <c r="G175" s="1035">
        <v>132</v>
      </c>
      <c r="H175" s="737">
        <v>80</v>
      </c>
      <c r="I175" s="593"/>
      <c r="J175" s="593"/>
    </row>
    <row r="176" spans="2:10">
      <c r="B176" s="590">
        <v>171</v>
      </c>
      <c r="C176" s="1038" t="s">
        <v>1760</v>
      </c>
      <c r="D176" s="1035" t="s">
        <v>964</v>
      </c>
      <c r="E176" s="1035" t="s">
        <v>2015</v>
      </c>
      <c r="F176" s="1036">
        <v>1</v>
      </c>
      <c r="G176" s="1035">
        <v>132</v>
      </c>
      <c r="H176" s="726">
        <v>70</v>
      </c>
      <c r="I176" s="591"/>
      <c r="J176" s="591"/>
    </row>
    <row r="177" spans="2:10">
      <c r="B177" s="590">
        <v>172</v>
      </c>
      <c r="C177" s="1038" t="s">
        <v>1761</v>
      </c>
      <c r="D177" s="1035" t="s">
        <v>964</v>
      </c>
      <c r="E177" s="1035" t="s">
        <v>2015</v>
      </c>
      <c r="F177" s="1036">
        <v>1</v>
      </c>
      <c r="G177" s="1035">
        <v>132</v>
      </c>
      <c r="H177" s="725">
        <v>38</v>
      </c>
      <c r="I177" s="591"/>
      <c r="J177" s="591"/>
    </row>
    <row r="178" spans="2:10">
      <c r="B178" s="590">
        <v>173</v>
      </c>
      <c r="C178" s="1037" t="s">
        <v>1407</v>
      </c>
      <c r="D178" s="1035" t="s">
        <v>964</v>
      </c>
      <c r="E178" s="1035" t="s">
        <v>2015</v>
      </c>
      <c r="F178" s="1036">
        <v>1</v>
      </c>
      <c r="G178" s="1035">
        <v>132</v>
      </c>
      <c r="H178" s="737">
        <v>35.85</v>
      </c>
      <c r="I178" s="593"/>
      <c r="J178" s="593"/>
    </row>
    <row r="179" spans="2:10">
      <c r="B179" s="590">
        <v>174</v>
      </c>
      <c r="C179" s="1037" t="s">
        <v>1408</v>
      </c>
      <c r="D179" s="1035" t="s">
        <v>964</v>
      </c>
      <c r="E179" s="1035" t="s">
        <v>2015</v>
      </c>
      <c r="F179" s="1036">
        <v>1</v>
      </c>
      <c r="G179" s="1035">
        <v>132</v>
      </c>
      <c r="H179" s="737">
        <v>80</v>
      </c>
      <c r="I179" s="591"/>
      <c r="J179" s="591"/>
    </row>
    <row r="180" spans="2:10">
      <c r="B180" s="590">
        <v>175</v>
      </c>
      <c r="C180" s="1038" t="s">
        <v>1409</v>
      </c>
      <c r="D180" s="1035" t="s">
        <v>964</v>
      </c>
      <c r="E180" s="1035" t="s">
        <v>2015</v>
      </c>
      <c r="F180" s="1036">
        <v>1</v>
      </c>
      <c r="G180" s="1035">
        <v>132</v>
      </c>
      <c r="H180" s="737">
        <v>60</v>
      </c>
      <c r="I180" s="591"/>
      <c r="J180" s="591"/>
    </row>
    <row r="181" spans="2:10">
      <c r="B181" s="590">
        <v>176</v>
      </c>
      <c r="C181" s="1045" t="s">
        <v>1762</v>
      </c>
      <c r="D181" s="1035" t="s">
        <v>964</v>
      </c>
      <c r="E181" s="1035" t="s">
        <v>2015</v>
      </c>
      <c r="F181" s="1036">
        <v>1</v>
      </c>
      <c r="G181" s="1035">
        <v>132</v>
      </c>
      <c r="H181" s="737">
        <v>3</v>
      </c>
      <c r="I181" s="591"/>
      <c r="J181" s="591"/>
    </row>
    <row r="182" spans="2:10">
      <c r="B182" s="590">
        <v>177</v>
      </c>
      <c r="C182" s="1038" t="s">
        <v>1410</v>
      </c>
      <c r="D182" s="1035" t="s">
        <v>964</v>
      </c>
      <c r="E182" s="1035" t="s">
        <v>2015</v>
      </c>
      <c r="F182" s="1036">
        <v>1</v>
      </c>
      <c r="G182" s="1035">
        <v>132</v>
      </c>
      <c r="H182" s="737">
        <v>20</v>
      </c>
      <c r="I182" s="591"/>
      <c r="J182" s="591"/>
    </row>
    <row r="183" spans="2:10">
      <c r="B183" s="590">
        <v>178</v>
      </c>
      <c r="C183" s="1038" t="s">
        <v>1411</v>
      </c>
      <c r="D183" s="1035" t="s">
        <v>964</v>
      </c>
      <c r="E183" s="1035" t="s">
        <v>2015</v>
      </c>
      <c r="F183" s="1036">
        <v>1</v>
      </c>
      <c r="G183" s="1035">
        <v>132</v>
      </c>
      <c r="H183" s="736">
        <v>17</v>
      </c>
      <c r="I183" s="591"/>
      <c r="J183" s="591"/>
    </row>
    <row r="184" spans="2:10">
      <c r="B184" s="590">
        <v>179</v>
      </c>
      <c r="C184" s="1038" t="s">
        <v>1412</v>
      </c>
      <c r="D184" s="1035" t="s">
        <v>964</v>
      </c>
      <c r="E184" s="1035" t="s">
        <v>2015</v>
      </c>
      <c r="F184" s="1036">
        <v>1</v>
      </c>
      <c r="G184" s="1035">
        <v>132</v>
      </c>
      <c r="H184" s="736">
        <v>3</v>
      </c>
      <c r="I184" s="591"/>
      <c r="J184" s="591"/>
    </row>
    <row r="185" spans="2:10">
      <c r="B185" s="590">
        <v>180</v>
      </c>
      <c r="C185" s="1038" t="s">
        <v>1763</v>
      </c>
      <c r="D185" s="1035" t="s">
        <v>964</v>
      </c>
      <c r="E185" s="1035" t="s">
        <v>2015</v>
      </c>
      <c r="F185" s="1036">
        <v>1</v>
      </c>
      <c r="G185" s="1035">
        <v>132</v>
      </c>
      <c r="H185" s="725">
        <v>2.19</v>
      </c>
      <c r="I185" s="593"/>
      <c r="J185" s="593"/>
    </row>
    <row r="186" spans="2:10">
      <c r="B186" s="590">
        <v>181</v>
      </c>
      <c r="C186" s="1034" t="s">
        <v>2061</v>
      </c>
      <c r="D186" s="1035" t="s">
        <v>964</v>
      </c>
      <c r="E186" s="1035" t="s">
        <v>2017</v>
      </c>
      <c r="F186" s="1036">
        <v>1</v>
      </c>
      <c r="G186" s="1035">
        <v>132</v>
      </c>
      <c r="H186" s="737">
        <v>36</v>
      </c>
      <c r="I186" s="591"/>
      <c r="J186" s="591"/>
    </row>
    <row r="187" spans="2:10">
      <c r="B187" s="590">
        <v>182</v>
      </c>
      <c r="C187" s="1034" t="s">
        <v>1285</v>
      </c>
      <c r="D187" s="1035" t="s">
        <v>964</v>
      </c>
      <c r="E187" s="1035" t="s">
        <v>2015</v>
      </c>
      <c r="F187" s="1036">
        <v>1</v>
      </c>
      <c r="G187" s="1035">
        <v>132</v>
      </c>
      <c r="H187" s="726">
        <v>4.67</v>
      </c>
      <c r="I187" s="591"/>
      <c r="J187" s="591"/>
    </row>
    <row r="188" spans="2:10">
      <c r="B188" s="590">
        <v>183</v>
      </c>
      <c r="C188" s="1037" t="s">
        <v>1764</v>
      </c>
      <c r="D188" s="1035" t="s">
        <v>964</v>
      </c>
      <c r="E188" s="1035" t="s">
        <v>2015</v>
      </c>
      <c r="F188" s="1036">
        <v>1</v>
      </c>
      <c r="G188" s="1035">
        <v>132</v>
      </c>
      <c r="H188" s="726">
        <v>2.4700000000000002</v>
      </c>
      <c r="I188" s="591"/>
      <c r="J188" s="591"/>
    </row>
    <row r="189" spans="2:10">
      <c r="B189" s="590">
        <v>184</v>
      </c>
      <c r="C189" s="1034" t="s">
        <v>2062</v>
      </c>
      <c r="D189" s="1035" t="s">
        <v>964</v>
      </c>
      <c r="E189" s="1035" t="s">
        <v>2017</v>
      </c>
      <c r="F189" s="1036">
        <v>1</v>
      </c>
      <c r="G189" s="1035">
        <v>132</v>
      </c>
      <c r="H189" s="737">
        <v>35.200000000000003</v>
      </c>
      <c r="I189" s="591"/>
      <c r="J189" s="591"/>
    </row>
    <row r="190" spans="2:10">
      <c r="B190" s="590">
        <v>185</v>
      </c>
      <c r="C190" s="1034" t="s">
        <v>2063</v>
      </c>
      <c r="D190" s="1035" t="s">
        <v>964</v>
      </c>
      <c r="E190" s="1035" t="s">
        <v>2017</v>
      </c>
      <c r="F190" s="1036">
        <v>1</v>
      </c>
      <c r="G190" s="1035">
        <v>132</v>
      </c>
      <c r="H190" s="737">
        <v>36</v>
      </c>
      <c r="I190" s="593"/>
      <c r="J190" s="593"/>
    </row>
    <row r="191" spans="2:10">
      <c r="B191" s="590">
        <v>186</v>
      </c>
      <c r="C191" s="1034" t="s">
        <v>2064</v>
      </c>
      <c r="D191" s="1035" t="s">
        <v>964</v>
      </c>
      <c r="E191" s="1035" t="s">
        <v>2017</v>
      </c>
      <c r="F191" s="1036">
        <v>1</v>
      </c>
      <c r="G191" s="1035">
        <v>132</v>
      </c>
      <c r="H191" s="726">
        <v>35</v>
      </c>
      <c r="I191" s="593"/>
      <c r="J191" s="593"/>
    </row>
    <row r="192" spans="2:10">
      <c r="B192" s="590">
        <v>187</v>
      </c>
      <c r="C192" s="1034" t="s">
        <v>1289</v>
      </c>
      <c r="D192" s="1035" t="s">
        <v>964</v>
      </c>
      <c r="E192" s="1035" t="s">
        <v>2015</v>
      </c>
      <c r="F192" s="1036">
        <v>1</v>
      </c>
      <c r="G192" s="1035">
        <v>132</v>
      </c>
      <c r="H192" s="726">
        <v>1.5</v>
      </c>
      <c r="I192" s="591"/>
      <c r="J192" s="591"/>
    </row>
    <row r="193" spans="2:10">
      <c r="B193" s="590">
        <v>188</v>
      </c>
      <c r="C193" s="1034" t="s">
        <v>1355</v>
      </c>
      <c r="D193" s="1035" t="s">
        <v>964</v>
      </c>
      <c r="E193" s="1035" t="s">
        <v>2015</v>
      </c>
      <c r="F193" s="1036">
        <v>1</v>
      </c>
      <c r="G193" s="1035">
        <v>132</v>
      </c>
      <c r="H193" s="726">
        <v>20.5</v>
      </c>
      <c r="I193" s="591"/>
      <c r="J193" s="591"/>
    </row>
    <row r="194" spans="2:10">
      <c r="B194" s="590">
        <v>189</v>
      </c>
      <c r="C194" s="1034" t="s">
        <v>1353</v>
      </c>
      <c r="D194" s="1035" t="s">
        <v>964</v>
      </c>
      <c r="E194" s="1035" t="s">
        <v>2015</v>
      </c>
      <c r="F194" s="1036">
        <v>1</v>
      </c>
      <c r="G194" s="1035">
        <v>132</v>
      </c>
      <c r="H194" s="726">
        <v>23</v>
      </c>
      <c r="I194" s="591"/>
      <c r="J194" s="591"/>
    </row>
    <row r="195" spans="2:10">
      <c r="B195" s="590">
        <v>190</v>
      </c>
      <c r="C195" s="1034" t="s">
        <v>1357</v>
      </c>
      <c r="D195" s="1035" t="s">
        <v>964</v>
      </c>
      <c r="E195" s="1035" t="s">
        <v>2015</v>
      </c>
      <c r="F195" s="1036">
        <v>1</v>
      </c>
      <c r="G195" s="1035">
        <v>132</v>
      </c>
      <c r="H195" s="726">
        <v>38</v>
      </c>
      <c r="I195" s="591"/>
      <c r="J195" s="591"/>
    </row>
    <row r="196" spans="2:10">
      <c r="B196" s="590">
        <v>191</v>
      </c>
      <c r="C196" s="1042" t="s">
        <v>1765</v>
      </c>
      <c r="D196" s="1035" t="s">
        <v>964</v>
      </c>
      <c r="E196" s="1035" t="s">
        <v>2015</v>
      </c>
      <c r="F196" s="1036">
        <v>1</v>
      </c>
      <c r="G196" s="1035">
        <v>132</v>
      </c>
      <c r="H196" s="726">
        <v>2.5</v>
      </c>
      <c r="I196" s="591"/>
      <c r="J196" s="591"/>
    </row>
    <row r="197" spans="2:10">
      <c r="B197" s="590">
        <v>192</v>
      </c>
      <c r="C197" s="1040" t="s">
        <v>1358</v>
      </c>
      <c r="D197" s="1035" t="s">
        <v>964</v>
      </c>
      <c r="E197" s="1035" t="s">
        <v>2015</v>
      </c>
      <c r="F197" s="1036">
        <v>1</v>
      </c>
      <c r="G197" s="1035">
        <v>132</v>
      </c>
      <c r="H197" s="738">
        <v>72</v>
      </c>
      <c r="I197" s="591"/>
      <c r="J197" s="591"/>
    </row>
    <row r="198" spans="2:10">
      <c r="B198" s="590">
        <v>193</v>
      </c>
      <c r="C198" s="1039" t="s">
        <v>1363</v>
      </c>
      <c r="D198" s="1035" t="s">
        <v>964</v>
      </c>
      <c r="E198" s="1035" t="s">
        <v>2015</v>
      </c>
      <c r="F198" s="1036">
        <v>1</v>
      </c>
      <c r="G198" s="1035">
        <v>132</v>
      </c>
      <c r="H198" s="738">
        <v>38</v>
      </c>
      <c r="I198" s="591"/>
      <c r="J198" s="591"/>
    </row>
    <row r="199" spans="2:10">
      <c r="B199" s="590">
        <v>194</v>
      </c>
      <c r="C199" s="1034" t="s">
        <v>2065</v>
      </c>
      <c r="D199" s="1035" t="s">
        <v>964</v>
      </c>
      <c r="E199" s="1035" t="s">
        <v>2017</v>
      </c>
      <c r="F199" s="1036">
        <v>1</v>
      </c>
      <c r="G199" s="1035">
        <v>132</v>
      </c>
      <c r="H199" s="738">
        <v>171.82</v>
      </c>
      <c r="I199" s="591"/>
      <c r="J199" s="591"/>
    </row>
    <row r="200" spans="2:10">
      <c r="B200" s="590">
        <v>195</v>
      </c>
      <c r="C200" s="1034" t="s">
        <v>1359</v>
      </c>
      <c r="D200" s="1035" t="s">
        <v>964</v>
      </c>
      <c r="E200" s="1035" t="s">
        <v>2015</v>
      </c>
      <c r="F200" s="1036">
        <v>1</v>
      </c>
      <c r="G200" s="1035">
        <v>132</v>
      </c>
      <c r="H200" s="736">
        <v>88.8</v>
      </c>
      <c r="I200" s="591"/>
      <c r="J200" s="591"/>
    </row>
    <row r="201" spans="2:10">
      <c r="B201" s="590">
        <v>196</v>
      </c>
      <c r="C201" s="1034" t="s">
        <v>1362</v>
      </c>
      <c r="D201" s="1035" t="s">
        <v>964</v>
      </c>
      <c r="E201" s="1035" t="s">
        <v>2015</v>
      </c>
      <c r="F201" s="1036">
        <v>1</v>
      </c>
      <c r="G201" s="1035">
        <v>132</v>
      </c>
      <c r="H201" s="726">
        <v>32</v>
      </c>
      <c r="I201" s="591"/>
      <c r="J201" s="591"/>
    </row>
    <row r="202" spans="2:10">
      <c r="B202" s="590">
        <v>197</v>
      </c>
      <c r="C202" s="1034" t="s">
        <v>1360</v>
      </c>
      <c r="D202" s="1035" t="s">
        <v>964</v>
      </c>
      <c r="E202" s="1035" t="s">
        <v>2015</v>
      </c>
      <c r="F202" s="1036">
        <v>1</v>
      </c>
      <c r="G202" s="1035">
        <v>132</v>
      </c>
      <c r="H202" s="736">
        <v>31.6</v>
      </c>
      <c r="I202" s="591"/>
      <c r="J202" s="591"/>
    </row>
    <row r="203" spans="2:10">
      <c r="B203" s="590">
        <v>198</v>
      </c>
      <c r="C203" s="972" t="s">
        <v>1284</v>
      </c>
      <c r="D203" s="1035" t="s">
        <v>964</v>
      </c>
      <c r="E203" s="1035" t="s">
        <v>2015</v>
      </c>
      <c r="F203" s="1036">
        <v>1</v>
      </c>
      <c r="G203" s="1035">
        <v>132</v>
      </c>
      <c r="H203" s="726">
        <v>1.2</v>
      </c>
      <c r="I203" s="593"/>
      <c r="J203" s="593"/>
    </row>
    <row r="204" spans="2:10">
      <c r="B204" s="590">
        <v>199</v>
      </c>
      <c r="C204" s="1034" t="s">
        <v>2066</v>
      </c>
      <c r="D204" s="1035" t="s">
        <v>964</v>
      </c>
      <c r="E204" s="1035" t="s">
        <v>2017</v>
      </c>
      <c r="F204" s="1036">
        <v>1</v>
      </c>
      <c r="G204" s="1035">
        <v>132</v>
      </c>
      <c r="H204" s="738">
        <v>19.559999999999999</v>
      </c>
      <c r="I204" s="593"/>
      <c r="J204" s="593"/>
    </row>
    <row r="205" spans="2:10">
      <c r="B205" s="590">
        <v>200</v>
      </c>
      <c r="C205" s="972" t="s">
        <v>1274</v>
      </c>
      <c r="D205" s="1035" t="s">
        <v>964</v>
      </c>
      <c r="E205" s="1035" t="s">
        <v>2015</v>
      </c>
      <c r="F205" s="1036">
        <v>1</v>
      </c>
      <c r="G205" s="1035">
        <v>132</v>
      </c>
      <c r="H205" s="736">
        <v>70</v>
      </c>
      <c r="I205" s="591"/>
      <c r="J205" s="591"/>
    </row>
    <row r="206" spans="2:10">
      <c r="B206" s="590">
        <v>201</v>
      </c>
      <c r="C206" s="1044" t="s">
        <v>1361</v>
      </c>
      <c r="D206" s="1035" t="s">
        <v>964</v>
      </c>
      <c r="E206" s="1035" t="s">
        <v>2015</v>
      </c>
      <c r="F206" s="1036">
        <v>1</v>
      </c>
      <c r="G206" s="1035">
        <v>132</v>
      </c>
      <c r="H206" s="279">
        <v>58.5</v>
      </c>
      <c r="I206" s="591"/>
      <c r="J206" s="591"/>
    </row>
    <row r="207" spans="2:10">
      <c r="B207" s="590">
        <v>202</v>
      </c>
      <c r="C207" s="972" t="s">
        <v>2067</v>
      </c>
      <c r="D207" s="1035" t="s">
        <v>964</v>
      </c>
      <c r="E207" s="1035" t="s">
        <v>2017</v>
      </c>
      <c r="F207" s="1036">
        <v>1</v>
      </c>
      <c r="G207" s="1035">
        <v>132</v>
      </c>
      <c r="H207" s="279">
        <v>1.7</v>
      </c>
      <c r="I207" s="591"/>
      <c r="J207" s="591"/>
    </row>
    <row r="208" spans="2:10">
      <c r="B208" s="590">
        <v>203</v>
      </c>
      <c r="C208" s="972" t="s">
        <v>1273</v>
      </c>
      <c r="D208" s="1035" t="s">
        <v>964</v>
      </c>
      <c r="E208" s="1035" t="s">
        <v>2015</v>
      </c>
      <c r="F208" s="1036">
        <v>1</v>
      </c>
      <c r="G208" s="1035">
        <v>132</v>
      </c>
      <c r="H208" s="726">
        <v>0.75</v>
      </c>
      <c r="I208" s="591"/>
      <c r="J208" s="591"/>
    </row>
    <row r="209" spans="2:10">
      <c r="B209" s="590">
        <v>204</v>
      </c>
      <c r="C209" s="1034" t="s">
        <v>1352</v>
      </c>
      <c r="D209" s="1035" t="s">
        <v>964</v>
      </c>
      <c r="E209" s="1035" t="s">
        <v>2015</v>
      </c>
      <c r="F209" s="1036">
        <v>1</v>
      </c>
      <c r="G209" s="1035">
        <v>132</v>
      </c>
      <c r="H209" s="738">
        <v>66</v>
      </c>
      <c r="I209" s="591"/>
      <c r="J209" s="591"/>
    </row>
    <row r="210" spans="2:10">
      <c r="B210" s="590">
        <v>205</v>
      </c>
      <c r="C210" s="1039" t="s">
        <v>1354</v>
      </c>
      <c r="D210" s="1035" t="s">
        <v>964</v>
      </c>
      <c r="E210" s="1035" t="s">
        <v>2015</v>
      </c>
      <c r="F210" s="1036">
        <v>1</v>
      </c>
      <c r="G210" s="1035">
        <v>132</v>
      </c>
      <c r="H210" s="737">
        <v>105</v>
      </c>
      <c r="I210" s="591"/>
      <c r="J210" s="591"/>
    </row>
    <row r="211" spans="2:10">
      <c r="B211" s="590">
        <v>206</v>
      </c>
      <c r="C211" s="1034" t="s">
        <v>1351</v>
      </c>
      <c r="D211" s="1035" t="s">
        <v>964</v>
      </c>
      <c r="E211" s="1035" t="s">
        <v>2015</v>
      </c>
      <c r="F211" s="1036">
        <v>1</v>
      </c>
      <c r="G211" s="1035">
        <v>132</v>
      </c>
      <c r="H211" s="736">
        <v>60</v>
      </c>
      <c r="I211" s="591"/>
      <c r="J211" s="591"/>
    </row>
    <row r="212" spans="2:10">
      <c r="B212" s="590">
        <v>207</v>
      </c>
      <c r="C212" s="1046" t="s">
        <v>1766</v>
      </c>
      <c r="D212" s="1035" t="s">
        <v>964</v>
      </c>
      <c r="E212" s="1035" t="s">
        <v>2015</v>
      </c>
      <c r="F212" s="1036">
        <v>1</v>
      </c>
      <c r="G212" s="1035">
        <v>132</v>
      </c>
      <c r="H212" s="737">
        <v>45</v>
      </c>
      <c r="I212" s="591"/>
      <c r="J212" s="591"/>
    </row>
    <row r="213" spans="2:10">
      <c r="B213" s="590">
        <v>208</v>
      </c>
      <c r="C213" s="1043" t="s">
        <v>1767</v>
      </c>
      <c r="D213" s="1035" t="s">
        <v>964</v>
      </c>
      <c r="E213" s="1035" t="s">
        <v>2015</v>
      </c>
      <c r="F213" s="1036">
        <v>1</v>
      </c>
      <c r="G213" s="1035">
        <v>132</v>
      </c>
      <c r="H213" s="738">
        <v>109</v>
      </c>
      <c r="I213" s="591"/>
      <c r="J213" s="591"/>
    </row>
    <row r="214" spans="2:10">
      <c r="B214" s="590">
        <v>209</v>
      </c>
      <c r="C214" s="972" t="s">
        <v>2068</v>
      </c>
      <c r="D214" s="1035" t="s">
        <v>964</v>
      </c>
      <c r="E214" s="1035" t="s">
        <v>2017</v>
      </c>
      <c r="F214" s="1036">
        <v>1</v>
      </c>
      <c r="G214" s="1035">
        <v>132</v>
      </c>
      <c r="H214" s="738">
        <v>83.16</v>
      </c>
      <c r="I214" s="591"/>
      <c r="J214" s="591"/>
    </row>
    <row r="215" spans="2:10">
      <c r="B215" s="590">
        <v>210</v>
      </c>
      <c r="C215" s="972" t="s">
        <v>1768</v>
      </c>
      <c r="D215" s="1035" t="s">
        <v>964</v>
      </c>
      <c r="E215" s="1035" t="s">
        <v>2015</v>
      </c>
      <c r="F215" s="1036">
        <v>1</v>
      </c>
      <c r="G215" s="1035">
        <v>132</v>
      </c>
      <c r="H215" s="736">
        <v>33</v>
      </c>
      <c r="I215" s="591"/>
      <c r="J215" s="591"/>
    </row>
    <row r="216" spans="2:10">
      <c r="B216" s="590">
        <v>211</v>
      </c>
      <c r="C216" s="1034" t="s">
        <v>1342</v>
      </c>
      <c r="D216" s="1035" t="s">
        <v>964</v>
      </c>
      <c r="E216" s="1035" t="s">
        <v>2015</v>
      </c>
      <c r="F216" s="1036">
        <v>1</v>
      </c>
      <c r="G216" s="1035">
        <v>132</v>
      </c>
      <c r="H216" s="725">
        <v>34.799999999999997</v>
      </c>
      <c r="I216" s="591"/>
      <c r="J216" s="591"/>
    </row>
    <row r="217" spans="2:10">
      <c r="B217" s="590">
        <v>212</v>
      </c>
      <c r="C217" s="1034" t="s">
        <v>1769</v>
      </c>
      <c r="D217" s="1035" t="s">
        <v>964</v>
      </c>
      <c r="E217" s="1035" t="s">
        <v>2015</v>
      </c>
      <c r="F217" s="1036">
        <v>1</v>
      </c>
      <c r="G217" s="1035">
        <v>132</v>
      </c>
      <c r="H217" s="737">
        <v>20</v>
      </c>
      <c r="I217" s="591"/>
      <c r="J217" s="591"/>
    </row>
    <row r="218" spans="2:10">
      <c r="B218" s="590">
        <v>213</v>
      </c>
      <c r="C218" s="1034" t="s">
        <v>1770</v>
      </c>
      <c r="D218" s="1035" t="s">
        <v>964</v>
      </c>
      <c r="E218" s="1035" t="s">
        <v>2015</v>
      </c>
      <c r="F218" s="1036">
        <v>1</v>
      </c>
      <c r="G218" s="1035">
        <v>132</v>
      </c>
      <c r="H218" s="725">
        <v>42</v>
      </c>
      <c r="I218" s="594"/>
      <c r="J218" s="594"/>
    </row>
    <row r="219" spans="2:10">
      <c r="B219" s="590">
        <v>214</v>
      </c>
      <c r="C219" s="1034" t="s">
        <v>1343</v>
      </c>
      <c r="D219" s="1035" t="s">
        <v>964</v>
      </c>
      <c r="E219" s="1035" t="s">
        <v>2015</v>
      </c>
      <c r="F219" s="1036">
        <v>1</v>
      </c>
      <c r="G219" s="1035">
        <v>132</v>
      </c>
      <c r="H219" s="725">
        <v>29</v>
      </c>
      <c r="I219" s="591"/>
      <c r="J219" s="591"/>
    </row>
    <row r="220" spans="2:10">
      <c r="B220" s="590">
        <v>215</v>
      </c>
      <c r="C220" s="1045" t="s">
        <v>2069</v>
      </c>
      <c r="D220" s="1035" t="s">
        <v>964</v>
      </c>
      <c r="E220" s="1035" t="s">
        <v>2017</v>
      </c>
      <c r="F220" s="1036">
        <v>1</v>
      </c>
      <c r="G220" s="1035">
        <v>132</v>
      </c>
      <c r="H220" s="279">
        <v>51</v>
      </c>
      <c r="I220" s="592"/>
      <c r="J220" s="592"/>
    </row>
    <row r="221" spans="2:10">
      <c r="B221" s="590">
        <v>216</v>
      </c>
      <c r="C221" s="972" t="s">
        <v>1276</v>
      </c>
      <c r="D221" s="1035" t="s">
        <v>964</v>
      </c>
      <c r="E221" s="1035" t="s">
        <v>2015</v>
      </c>
      <c r="F221" s="1036">
        <v>1</v>
      </c>
      <c r="G221" s="1035">
        <v>132</v>
      </c>
      <c r="H221" s="738">
        <v>6</v>
      </c>
      <c r="I221" s="591"/>
      <c r="J221" s="591"/>
    </row>
    <row r="222" spans="2:10">
      <c r="B222" s="590">
        <v>217</v>
      </c>
      <c r="C222" s="972" t="s">
        <v>1282</v>
      </c>
      <c r="D222" s="1035" t="s">
        <v>964</v>
      </c>
      <c r="E222" s="1035" t="s">
        <v>2015</v>
      </c>
      <c r="F222" s="1036">
        <v>1</v>
      </c>
      <c r="G222" s="1035">
        <v>132</v>
      </c>
      <c r="H222" s="736">
        <v>20</v>
      </c>
      <c r="I222" s="591"/>
      <c r="J222" s="591"/>
    </row>
    <row r="223" spans="2:10">
      <c r="B223" s="590">
        <v>218</v>
      </c>
      <c r="C223" s="1047" t="s">
        <v>2070</v>
      </c>
      <c r="D223" s="1035" t="s">
        <v>964</v>
      </c>
      <c r="E223" s="1035" t="s">
        <v>2017</v>
      </c>
      <c r="F223" s="1036">
        <v>1</v>
      </c>
      <c r="G223" s="1035">
        <v>132</v>
      </c>
      <c r="H223" s="740">
        <v>28.78</v>
      </c>
      <c r="I223" s="591"/>
      <c r="J223" s="591"/>
    </row>
    <row r="224" spans="2:10">
      <c r="B224" s="590">
        <v>219</v>
      </c>
      <c r="C224" s="972" t="s">
        <v>2071</v>
      </c>
      <c r="D224" s="1035" t="s">
        <v>964</v>
      </c>
      <c r="E224" s="1035" t="s">
        <v>2017</v>
      </c>
      <c r="F224" s="1036">
        <v>1</v>
      </c>
      <c r="G224" s="1035">
        <v>132</v>
      </c>
      <c r="H224" s="725">
        <v>94</v>
      </c>
      <c r="I224" s="591"/>
      <c r="J224" s="591"/>
    </row>
    <row r="225" spans="2:10">
      <c r="B225" s="590">
        <v>220</v>
      </c>
      <c r="C225" s="972" t="s">
        <v>1283</v>
      </c>
      <c r="D225" s="1035" t="s">
        <v>964</v>
      </c>
      <c r="E225" s="1048" t="s">
        <v>2015</v>
      </c>
      <c r="F225" s="1036">
        <v>1</v>
      </c>
      <c r="G225" s="1035">
        <v>132</v>
      </c>
      <c r="H225" s="725">
        <v>86</v>
      </c>
      <c r="I225" s="591"/>
      <c r="J225" s="591"/>
    </row>
    <row r="226" spans="2:10">
      <c r="B226" s="590">
        <v>221</v>
      </c>
      <c r="C226" s="1040" t="s">
        <v>2072</v>
      </c>
      <c r="D226" s="1035" t="s">
        <v>964</v>
      </c>
      <c r="E226" s="1035" t="s">
        <v>2017</v>
      </c>
      <c r="F226" s="1036">
        <v>1</v>
      </c>
      <c r="G226" s="1035">
        <v>132</v>
      </c>
      <c r="H226" s="725">
        <v>79</v>
      </c>
      <c r="I226" s="591"/>
      <c r="J226" s="591"/>
    </row>
    <row r="227" spans="2:10">
      <c r="B227" s="590">
        <v>222</v>
      </c>
      <c r="C227" s="1034" t="s">
        <v>1771</v>
      </c>
      <c r="D227" s="1035" t="s">
        <v>964</v>
      </c>
      <c r="E227" s="1048" t="s">
        <v>2015</v>
      </c>
      <c r="F227" s="1036">
        <v>1</v>
      </c>
      <c r="G227" s="1035">
        <v>132</v>
      </c>
      <c r="H227" s="726">
        <v>77</v>
      </c>
      <c r="I227" s="591"/>
      <c r="J227" s="591"/>
    </row>
    <row r="228" spans="2:10" ht="30">
      <c r="B228" s="590">
        <v>223</v>
      </c>
      <c r="C228" s="1039" t="s">
        <v>1413</v>
      </c>
      <c r="D228" s="1035" t="s">
        <v>964</v>
      </c>
      <c r="E228" s="1048" t="s">
        <v>2015</v>
      </c>
      <c r="F228" s="1036">
        <v>1</v>
      </c>
      <c r="G228" s="1035">
        <v>132</v>
      </c>
      <c r="H228" s="726">
        <v>12</v>
      </c>
      <c r="I228" s="591"/>
      <c r="J228" s="591"/>
    </row>
    <row r="229" spans="2:10">
      <c r="B229" s="590">
        <v>224</v>
      </c>
      <c r="C229" s="1034" t="s">
        <v>1414</v>
      </c>
      <c r="D229" s="1035" t="s">
        <v>964</v>
      </c>
      <c r="E229" s="1048" t="s">
        <v>2015</v>
      </c>
      <c r="F229" s="1036">
        <v>1</v>
      </c>
      <c r="G229" s="1035">
        <v>132</v>
      </c>
      <c r="H229" s="726">
        <v>24.91</v>
      </c>
      <c r="I229" s="591"/>
      <c r="J229" s="591"/>
    </row>
    <row r="230" spans="2:10">
      <c r="B230" s="590">
        <v>225</v>
      </c>
      <c r="C230" s="1034" t="s">
        <v>1418</v>
      </c>
      <c r="D230" s="1035" t="s">
        <v>964</v>
      </c>
      <c r="E230" s="1048" t="s">
        <v>2015</v>
      </c>
      <c r="F230" s="1036">
        <v>1</v>
      </c>
      <c r="G230" s="1035">
        <v>132</v>
      </c>
      <c r="H230" s="736">
        <v>33</v>
      </c>
      <c r="I230" s="591"/>
      <c r="J230" s="591"/>
    </row>
    <row r="231" spans="2:10">
      <c r="B231" s="590">
        <v>226</v>
      </c>
      <c r="C231" s="1034" t="s">
        <v>1391</v>
      </c>
      <c r="D231" s="1035" t="s">
        <v>964</v>
      </c>
      <c r="E231" s="1048" t="s">
        <v>2015</v>
      </c>
      <c r="F231" s="1036">
        <v>1</v>
      </c>
      <c r="G231" s="1035">
        <v>132</v>
      </c>
      <c r="H231" s="738">
        <v>14</v>
      </c>
      <c r="I231" s="591"/>
      <c r="J231" s="591"/>
    </row>
    <row r="232" spans="2:10">
      <c r="B232" s="590">
        <v>227</v>
      </c>
      <c r="C232" s="1039" t="s">
        <v>1415</v>
      </c>
      <c r="D232" s="1035" t="s">
        <v>964</v>
      </c>
      <c r="E232" s="1048" t="s">
        <v>2015</v>
      </c>
      <c r="F232" s="1036">
        <v>1</v>
      </c>
      <c r="G232" s="1035">
        <v>132</v>
      </c>
      <c r="H232" s="741">
        <v>43.91</v>
      </c>
      <c r="I232" s="593"/>
      <c r="J232" s="593"/>
    </row>
    <row r="233" spans="2:10" ht="30">
      <c r="B233" s="590">
        <v>228</v>
      </c>
      <c r="C233" s="1039" t="s">
        <v>1393</v>
      </c>
      <c r="D233" s="1035" t="s">
        <v>964</v>
      </c>
      <c r="E233" s="1048" t="s">
        <v>2015</v>
      </c>
      <c r="F233" s="1036">
        <v>1</v>
      </c>
      <c r="G233" s="1035">
        <v>132</v>
      </c>
      <c r="H233" s="725">
        <v>42.4</v>
      </c>
      <c r="I233" s="593"/>
      <c r="J233" s="593"/>
    </row>
    <row r="234" spans="2:10">
      <c r="B234" s="590">
        <v>229</v>
      </c>
      <c r="C234" s="1034" t="s">
        <v>1392</v>
      </c>
      <c r="D234" s="1035" t="s">
        <v>964</v>
      </c>
      <c r="E234" s="1048" t="s">
        <v>2015</v>
      </c>
      <c r="F234" s="1036">
        <v>1</v>
      </c>
      <c r="G234" s="1035">
        <v>132</v>
      </c>
      <c r="H234" s="736">
        <v>20.32</v>
      </c>
      <c r="I234" s="591"/>
      <c r="J234" s="591"/>
    </row>
    <row r="235" spans="2:10">
      <c r="B235" s="590">
        <v>230</v>
      </c>
      <c r="C235" s="1034" t="s">
        <v>2073</v>
      </c>
      <c r="D235" s="1035" t="s">
        <v>964</v>
      </c>
      <c r="E235" s="1035" t="s">
        <v>2017</v>
      </c>
      <c r="F235" s="1036">
        <v>1</v>
      </c>
      <c r="G235" s="1035">
        <v>132</v>
      </c>
      <c r="H235" s="738">
        <v>42.24</v>
      </c>
      <c r="I235" s="591"/>
      <c r="J235" s="591"/>
    </row>
    <row r="236" spans="2:10">
      <c r="B236" s="590">
        <v>231</v>
      </c>
      <c r="C236" s="972" t="s">
        <v>2074</v>
      </c>
      <c r="D236" s="1035" t="s">
        <v>964</v>
      </c>
      <c r="E236" s="1035" t="s">
        <v>2017</v>
      </c>
      <c r="F236" s="1036">
        <v>1</v>
      </c>
      <c r="G236" s="1035">
        <v>132</v>
      </c>
      <c r="H236" s="725">
        <v>30</v>
      </c>
      <c r="I236" s="591"/>
      <c r="J236" s="591"/>
    </row>
    <row r="237" spans="2:10">
      <c r="B237" s="590">
        <v>232</v>
      </c>
      <c r="C237" s="1034" t="s">
        <v>2075</v>
      </c>
      <c r="D237" s="1035" t="s">
        <v>964</v>
      </c>
      <c r="E237" s="1035" t="s">
        <v>2017</v>
      </c>
      <c r="F237" s="1036">
        <v>1</v>
      </c>
      <c r="G237" s="1035">
        <v>132</v>
      </c>
      <c r="H237" s="738">
        <v>121</v>
      </c>
      <c r="I237" s="591"/>
      <c r="J237" s="591"/>
    </row>
    <row r="238" spans="2:10">
      <c r="B238" s="590">
        <v>233</v>
      </c>
      <c r="C238" s="1038" t="s">
        <v>1372</v>
      </c>
      <c r="D238" s="1035" t="s">
        <v>964</v>
      </c>
      <c r="E238" s="1048" t="s">
        <v>2015</v>
      </c>
      <c r="F238" s="1036">
        <v>1</v>
      </c>
      <c r="G238" s="1035">
        <v>132</v>
      </c>
      <c r="H238" s="741">
        <v>34.665999999999997</v>
      </c>
      <c r="I238" s="591"/>
      <c r="J238" s="591"/>
    </row>
    <row r="239" spans="2:10">
      <c r="B239" s="590">
        <v>234</v>
      </c>
      <c r="C239" s="1034" t="s">
        <v>1394</v>
      </c>
      <c r="D239" s="1035" t="s">
        <v>964</v>
      </c>
      <c r="E239" s="1048" t="s">
        <v>2015</v>
      </c>
      <c r="F239" s="1036">
        <v>1</v>
      </c>
      <c r="G239" s="1035">
        <v>132</v>
      </c>
      <c r="H239" s="737">
        <v>16.5</v>
      </c>
      <c r="I239" s="591"/>
      <c r="J239" s="591"/>
    </row>
    <row r="240" spans="2:10">
      <c r="B240" s="590">
        <v>235</v>
      </c>
      <c r="C240" s="1034" t="s">
        <v>2076</v>
      </c>
      <c r="D240" s="1035" t="s">
        <v>964</v>
      </c>
      <c r="E240" s="1048" t="s">
        <v>2015</v>
      </c>
      <c r="F240" s="1036">
        <v>1</v>
      </c>
      <c r="G240" s="1035">
        <v>132</v>
      </c>
      <c r="H240" s="737">
        <v>48</v>
      </c>
      <c r="I240" s="591"/>
      <c r="J240" s="591"/>
    </row>
    <row r="241" spans="2:10">
      <c r="B241" s="590">
        <v>236</v>
      </c>
      <c r="C241" s="1034" t="s">
        <v>2077</v>
      </c>
      <c r="D241" s="1035" t="s">
        <v>964</v>
      </c>
      <c r="E241" s="1048" t="s">
        <v>2015</v>
      </c>
      <c r="F241" s="1036">
        <v>1</v>
      </c>
      <c r="G241" s="1035">
        <v>132</v>
      </c>
      <c r="H241" s="737">
        <v>45</v>
      </c>
      <c r="I241" s="591"/>
      <c r="J241" s="591"/>
    </row>
    <row r="242" spans="2:10">
      <c r="B242" s="590">
        <v>237</v>
      </c>
      <c r="C242" s="972" t="s">
        <v>2078</v>
      </c>
      <c r="D242" s="1035" t="s">
        <v>964</v>
      </c>
      <c r="E242" s="1048" t="s">
        <v>2015</v>
      </c>
      <c r="F242" s="1036">
        <v>1</v>
      </c>
      <c r="G242" s="1035">
        <v>132</v>
      </c>
      <c r="H242" s="737">
        <v>49</v>
      </c>
      <c r="I242" s="591"/>
      <c r="J242" s="591"/>
    </row>
    <row r="243" spans="2:10">
      <c r="B243" s="590">
        <v>238</v>
      </c>
      <c r="C243" s="972" t="s">
        <v>2079</v>
      </c>
      <c r="D243" s="1035" t="s">
        <v>964</v>
      </c>
      <c r="E243" s="1048" t="s">
        <v>2015</v>
      </c>
      <c r="F243" s="1036">
        <v>1</v>
      </c>
      <c r="G243" s="1035">
        <v>132</v>
      </c>
      <c r="H243" s="737">
        <v>48.5</v>
      </c>
      <c r="I243" s="593"/>
      <c r="J243" s="593"/>
    </row>
    <row r="244" spans="2:10">
      <c r="B244" s="590">
        <v>239</v>
      </c>
      <c r="C244" s="1034" t="s">
        <v>1395</v>
      </c>
      <c r="D244" s="1035" t="s">
        <v>964</v>
      </c>
      <c r="E244" s="1048" t="s">
        <v>2015</v>
      </c>
      <c r="F244" s="1036">
        <v>1</v>
      </c>
      <c r="G244" s="1035">
        <v>132</v>
      </c>
      <c r="H244" s="736">
        <v>22</v>
      </c>
      <c r="I244" s="591"/>
      <c r="J244" s="591"/>
    </row>
    <row r="245" spans="2:10">
      <c r="B245" s="590">
        <v>240</v>
      </c>
      <c r="C245" s="1039" t="s">
        <v>1396</v>
      </c>
      <c r="D245" s="1035" t="s">
        <v>964</v>
      </c>
      <c r="E245" s="1048" t="s">
        <v>2015</v>
      </c>
      <c r="F245" s="1036">
        <v>1</v>
      </c>
      <c r="G245" s="1035">
        <v>132</v>
      </c>
      <c r="H245" s="737">
        <v>32</v>
      </c>
      <c r="I245" s="591"/>
      <c r="J245" s="591"/>
    </row>
    <row r="246" spans="2:10">
      <c r="B246" s="590">
        <v>241</v>
      </c>
      <c r="C246" s="972" t="s">
        <v>1277</v>
      </c>
      <c r="D246" s="1035" t="s">
        <v>964</v>
      </c>
      <c r="E246" s="1048" t="s">
        <v>2015</v>
      </c>
      <c r="F246" s="1036">
        <v>1</v>
      </c>
      <c r="G246" s="1035">
        <v>132</v>
      </c>
      <c r="H246" s="726">
        <v>51</v>
      </c>
      <c r="I246" s="591"/>
      <c r="J246" s="591"/>
    </row>
    <row r="247" spans="2:10">
      <c r="B247" s="590">
        <v>242</v>
      </c>
      <c r="C247" s="1039" t="s">
        <v>1772</v>
      </c>
      <c r="D247" s="1035" t="s">
        <v>964</v>
      </c>
      <c r="E247" s="1048" t="s">
        <v>2015</v>
      </c>
      <c r="F247" s="1036">
        <v>1</v>
      </c>
      <c r="G247" s="1035">
        <v>132</v>
      </c>
      <c r="H247" s="736">
        <v>1.55</v>
      </c>
      <c r="I247" s="593"/>
      <c r="J247" s="593"/>
    </row>
    <row r="248" spans="2:10">
      <c r="B248" s="590">
        <v>243</v>
      </c>
      <c r="C248" s="1034" t="s">
        <v>1286</v>
      </c>
      <c r="D248" s="1035" t="s">
        <v>964</v>
      </c>
      <c r="E248" s="1048" t="s">
        <v>2015</v>
      </c>
      <c r="F248" s="1036">
        <v>1</v>
      </c>
      <c r="G248" s="1035">
        <v>132</v>
      </c>
      <c r="H248" s="725">
        <v>15.6</v>
      </c>
      <c r="I248" s="593"/>
      <c r="J248" s="593"/>
    </row>
    <row r="249" spans="2:10">
      <c r="B249" s="590">
        <v>244</v>
      </c>
      <c r="C249" s="1034" t="s">
        <v>1288</v>
      </c>
      <c r="D249" s="1035" t="s">
        <v>964</v>
      </c>
      <c r="E249" s="1048" t="s">
        <v>2015</v>
      </c>
      <c r="F249" s="1036">
        <v>1</v>
      </c>
      <c r="G249" s="1035">
        <v>132</v>
      </c>
      <c r="H249" s="737">
        <v>22.2</v>
      </c>
      <c r="I249" s="593"/>
      <c r="J249" s="593"/>
    </row>
    <row r="250" spans="2:10">
      <c r="B250" s="590">
        <v>245</v>
      </c>
      <c r="C250" s="1034" t="s">
        <v>1287</v>
      </c>
      <c r="D250" s="1035" t="s">
        <v>964</v>
      </c>
      <c r="E250" s="1048" t="s">
        <v>2015</v>
      </c>
      <c r="F250" s="1036">
        <v>1</v>
      </c>
      <c r="G250" s="1035">
        <v>132</v>
      </c>
      <c r="H250" s="725">
        <v>23</v>
      </c>
      <c r="I250" s="593"/>
      <c r="J250" s="593"/>
    </row>
    <row r="251" spans="2:10">
      <c r="B251" s="590">
        <v>246</v>
      </c>
      <c r="C251" s="1034" t="s">
        <v>1325</v>
      </c>
      <c r="D251" s="1035" t="s">
        <v>964</v>
      </c>
      <c r="E251" s="1048" t="s">
        <v>2015</v>
      </c>
      <c r="F251" s="1036">
        <v>1</v>
      </c>
      <c r="G251" s="1035">
        <v>132</v>
      </c>
      <c r="H251" s="737">
        <v>58</v>
      </c>
      <c r="I251" s="591"/>
      <c r="J251" s="591"/>
    </row>
    <row r="252" spans="2:10">
      <c r="B252" s="590">
        <v>247</v>
      </c>
      <c r="C252" s="1034" t="s">
        <v>1326</v>
      </c>
      <c r="D252" s="1035" t="s">
        <v>964</v>
      </c>
      <c r="E252" s="1048" t="s">
        <v>2015</v>
      </c>
      <c r="F252" s="1036">
        <v>1</v>
      </c>
      <c r="G252" s="1035">
        <v>132</v>
      </c>
      <c r="H252" s="725">
        <v>54</v>
      </c>
      <c r="I252" s="593"/>
      <c r="J252" s="593"/>
    </row>
    <row r="253" spans="2:10">
      <c r="B253" s="590">
        <v>248</v>
      </c>
      <c r="C253" s="1043" t="s">
        <v>1773</v>
      </c>
      <c r="D253" s="1035" t="s">
        <v>964</v>
      </c>
      <c r="E253" s="1048" t="s">
        <v>2015</v>
      </c>
      <c r="F253" s="1036">
        <v>1</v>
      </c>
      <c r="G253" s="1035">
        <v>132</v>
      </c>
      <c r="H253" s="737">
        <v>7.2</v>
      </c>
      <c r="I253" s="593"/>
      <c r="J253" s="593"/>
    </row>
    <row r="254" spans="2:10">
      <c r="B254" s="590">
        <v>249</v>
      </c>
      <c r="C254" s="1034" t="s">
        <v>1774</v>
      </c>
      <c r="D254" s="1035" t="s">
        <v>964</v>
      </c>
      <c r="E254" s="1048" t="s">
        <v>2015</v>
      </c>
      <c r="F254" s="1036">
        <v>1</v>
      </c>
      <c r="G254" s="1035">
        <v>132</v>
      </c>
      <c r="H254" s="737">
        <v>30</v>
      </c>
      <c r="I254" s="593"/>
      <c r="J254" s="593"/>
    </row>
    <row r="255" spans="2:10">
      <c r="B255" s="590">
        <v>250</v>
      </c>
      <c r="C255" s="1034" t="s">
        <v>1775</v>
      </c>
      <c r="D255" s="1035" t="s">
        <v>964</v>
      </c>
      <c r="E255" s="1048" t="s">
        <v>2015</v>
      </c>
      <c r="F255" s="1036">
        <v>1</v>
      </c>
      <c r="G255" s="1035">
        <v>132</v>
      </c>
      <c r="H255" s="737">
        <v>17.2</v>
      </c>
      <c r="I255" s="593"/>
      <c r="J255" s="593"/>
    </row>
    <row r="256" spans="2:10">
      <c r="B256" s="590">
        <v>251</v>
      </c>
      <c r="C256" s="1034" t="s">
        <v>1776</v>
      </c>
      <c r="D256" s="1035" t="s">
        <v>964</v>
      </c>
      <c r="E256" s="1048" t="s">
        <v>2015</v>
      </c>
      <c r="F256" s="1036">
        <v>1</v>
      </c>
      <c r="G256" s="1035">
        <v>132</v>
      </c>
      <c r="H256" s="725">
        <v>33.200000000000003</v>
      </c>
      <c r="I256" s="592"/>
      <c r="J256" s="592"/>
    </row>
    <row r="257" spans="2:10">
      <c r="B257" s="590">
        <v>252</v>
      </c>
      <c r="C257" s="1034" t="s">
        <v>1777</v>
      </c>
      <c r="D257" s="1035" t="s">
        <v>964</v>
      </c>
      <c r="E257" s="1048" t="s">
        <v>2015</v>
      </c>
      <c r="F257" s="1036">
        <v>1</v>
      </c>
      <c r="G257" s="1035">
        <v>132</v>
      </c>
      <c r="H257" s="279">
        <v>16</v>
      </c>
      <c r="I257" s="592"/>
      <c r="J257" s="592"/>
    </row>
    <row r="258" spans="2:10">
      <c r="B258" s="590">
        <v>253</v>
      </c>
      <c r="C258" s="1034" t="s">
        <v>1335</v>
      </c>
      <c r="D258" s="1035" t="s">
        <v>964</v>
      </c>
      <c r="E258" s="1048" t="s">
        <v>2015</v>
      </c>
      <c r="F258" s="1036">
        <v>1</v>
      </c>
      <c r="G258" s="1035">
        <v>132</v>
      </c>
      <c r="H258" s="736">
        <v>27</v>
      </c>
      <c r="I258" s="592"/>
      <c r="J258" s="592"/>
    </row>
    <row r="259" spans="2:10">
      <c r="B259" s="590">
        <v>254</v>
      </c>
      <c r="C259" s="1034" t="s">
        <v>1334</v>
      </c>
      <c r="D259" s="1035" t="s">
        <v>964</v>
      </c>
      <c r="E259" s="1048" t="s">
        <v>2015</v>
      </c>
      <c r="F259" s="1036">
        <v>1</v>
      </c>
      <c r="G259" s="1035">
        <v>132</v>
      </c>
      <c r="H259" s="736">
        <v>15</v>
      </c>
      <c r="I259" s="592"/>
      <c r="J259" s="592"/>
    </row>
    <row r="260" spans="2:10">
      <c r="B260" s="590">
        <v>255</v>
      </c>
      <c r="C260" s="972" t="s">
        <v>1279</v>
      </c>
      <c r="D260" s="1035" t="s">
        <v>964</v>
      </c>
      <c r="E260" s="1048" t="s">
        <v>2015</v>
      </c>
      <c r="F260" s="1036">
        <v>1</v>
      </c>
      <c r="G260" s="1035">
        <v>132</v>
      </c>
      <c r="H260" s="736">
        <v>62</v>
      </c>
      <c r="I260" s="591"/>
      <c r="J260" s="591"/>
    </row>
    <row r="261" spans="2:10">
      <c r="B261" s="590">
        <v>256</v>
      </c>
      <c r="C261" s="1034" t="s">
        <v>1324</v>
      </c>
      <c r="D261" s="1035" t="s">
        <v>964</v>
      </c>
      <c r="E261" s="1048" t="s">
        <v>2015</v>
      </c>
      <c r="F261" s="1036">
        <v>1</v>
      </c>
      <c r="G261" s="1035">
        <v>132</v>
      </c>
      <c r="H261" s="736">
        <v>37.729999999999997</v>
      </c>
      <c r="I261" s="591"/>
      <c r="J261" s="591"/>
    </row>
    <row r="262" spans="2:10">
      <c r="B262" s="590">
        <v>257</v>
      </c>
      <c r="C262" s="1034" t="s">
        <v>2080</v>
      </c>
      <c r="D262" s="1035" t="s">
        <v>964</v>
      </c>
      <c r="E262" s="1035" t="s">
        <v>2017</v>
      </c>
      <c r="F262" s="1036">
        <v>1</v>
      </c>
      <c r="G262" s="1035">
        <v>132</v>
      </c>
      <c r="H262" s="736">
        <v>10</v>
      </c>
      <c r="I262" s="591"/>
      <c r="J262" s="591"/>
    </row>
    <row r="263" spans="2:10">
      <c r="B263" s="590">
        <v>258</v>
      </c>
      <c r="C263" s="1034" t="s">
        <v>2081</v>
      </c>
      <c r="D263" s="1035" t="s">
        <v>964</v>
      </c>
      <c r="E263" s="1035" t="s">
        <v>2017</v>
      </c>
      <c r="F263" s="1036">
        <v>1</v>
      </c>
      <c r="G263" s="1035">
        <v>132</v>
      </c>
      <c r="H263" s="279">
        <v>80</v>
      </c>
      <c r="I263" s="591"/>
      <c r="J263" s="591"/>
    </row>
    <row r="264" spans="2:10">
      <c r="B264" s="590">
        <v>259</v>
      </c>
      <c r="C264" s="1034" t="s">
        <v>1332</v>
      </c>
      <c r="D264" s="1035" t="s">
        <v>964</v>
      </c>
      <c r="E264" s="1048" t="s">
        <v>2015</v>
      </c>
      <c r="F264" s="1036">
        <v>1</v>
      </c>
      <c r="G264" s="1035">
        <v>132</v>
      </c>
      <c r="H264" s="738">
        <v>48.89</v>
      </c>
      <c r="I264" s="591"/>
      <c r="J264" s="591"/>
    </row>
    <row r="265" spans="2:10">
      <c r="B265" s="590">
        <v>260</v>
      </c>
      <c r="C265" s="1034" t="s">
        <v>1333</v>
      </c>
      <c r="D265" s="1035" t="s">
        <v>964</v>
      </c>
      <c r="E265" s="1048" t="s">
        <v>2015</v>
      </c>
      <c r="F265" s="1036">
        <v>1</v>
      </c>
      <c r="G265" s="1035">
        <v>132</v>
      </c>
      <c r="H265" s="736">
        <v>27</v>
      </c>
      <c r="I265" s="591"/>
      <c r="J265" s="591"/>
    </row>
    <row r="266" spans="2:10">
      <c r="B266" s="590">
        <v>261</v>
      </c>
      <c r="C266" s="972" t="s">
        <v>1278</v>
      </c>
      <c r="D266" s="1035" t="s">
        <v>964</v>
      </c>
      <c r="E266" s="1048" t="s">
        <v>2015</v>
      </c>
      <c r="F266" s="1036">
        <v>1</v>
      </c>
      <c r="G266" s="1035">
        <v>132</v>
      </c>
      <c r="H266" s="736">
        <v>49</v>
      </c>
      <c r="I266" s="591"/>
      <c r="J266" s="591"/>
    </row>
    <row r="267" spans="2:10">
      <c r="B267" s="590">
        <v>262</v>
      </c>
      <c r="C267" s="1034" t="s">
        <v>1778</v>
      </c>
      <c r="D267" s="1035" t="s">
        <v>964</v>
      </c>
      <c r="E267" s="1048" t="s">
        <v>2015</v>
      </c>
      <c r="F267" s="1036">
        <v>1</v>
      </c>
      <c r="G267" s="1035">
        <v>132</v>
      </c>
      <c r="H267" s="738">
        <v>7</v>
      </c>
      <c r="I267" s="591"/>
      <c r="J267" s="591"/>
    </row>
    <row r="268" spans="2:10">
      <c r="B268" s="590">
        <v>263</v>
      </c>
      <c r="C268" s="1037" t="s">
        <v>1327</v>
      </c>
      <c r="D268" s="1035" t="s">
        <v>964</v>
      </c>
      <c r="E268" s="1048" t="s">
        <v>2015</v>
      </c>
      <c r="F268" s="1036">
        <v>1</v>
      </c>
      <c r="G268" s="1035">
        <v>132</v>
      </c>
      <c r="H268" s="736">
        <v>58</v>
      </c>
      <c r="I268" s="591"/>
      <c r="J268" s="591"/>
    </row>
    <row r="269" spans="2:10">
      <c r="B269" s="590">
        <v>264</v>
      </c>
      <c r="C269" s="1044" t="s">
        <v>1330</v>
      </c>
      <c r="D269" s="1035" t="s">
        <v>964</v>
      </c>
      <c r="E269" s="1048" t="s">
        <v>2015</v>
      </c>
      <c r="F269" s="1036">
        <v>1</v>
      </c>
      <c r="G269" s="1035">
        <v>132</v>
      </c>
      <c r="H269" s="736">
        <v>41.2</v>
      </c>
      <c r="I269" s="591"/>
      <c r="J269" s="591"/>
    </row>
    <row r="270" spans="2:10">
      <c r="B270" s="590">
        <v>265</v>
      </c>
      <c r="C270" s="1044" t="s">
        <v>1331</v>
      </c>
      <c r="D270" s="1035" t="s">
        <v>964</v>
      </c>
      <c r="E270" s="1048" t="s">
        <v>2015</v>
      </c>
      <c r="F270" s="1036">
        <v>1</v>
      </c>
      <c r="G270" s="1035">
        <v>132</v>
      </c>
      <c r="H270" s="738">
        <v>32</v>
      </c>
      <c r="I270" s="591"/>
      <c r="J270" s="591"/>
    </row>
    <row r="271" spans="2:10">
      <c r="B271" s="590">
        <v>266</v>
      </c>
      <c r="C271" s="1038" t="s">
        <v>1779</v>
      </c>
      <c r="D271" s="1035" t="s">
        <v>964</v>
      </c>
      <c r="E271" s="1048" t="s">
        <v>2015</v>
      </c>
      <c r="F271" s="1036">
        <v>1</v>
      </c>
      <c r="G271" s="1035">
        <v>132</v>
      </c>
      <c r="H271" s="736">
        <v>18</v>
      </c>
      <c r="I271" s="591"/>
      <c r="J271" s="591"/>
    </row>
    <row r="272" spans="2:10">
      <c r="B272" s="590">
        <v>267</v>
      </c>
      <c r="C272" s="1038" t="s">
        <v>2082</v>
      </c>
      <c r="D272" s="1035" t="s">
        <v>964</v>
      </c>
      <c r="E272" s="1035" t="s">
        <v>2017</v>
      </c>
      <c r="F272" s="1036">
        <v>1</v>
      </c>
      <c r="G272" s="1035">
        <v>132</v>
      </c>
      <c r="H272" s="736">
        <v>49</v>
      </c>
      <c r="I272" s="591"/>
      <c r="J272" s="591"/>
    </row>
    <row r="273" spans="2:10">
      <c r="B273" s="590">
        <v>268</v>
      </c>
      <c r="C273" s="1034" t="s">
        <v>1780</v>
      </c>
      <c r="D273" s="1035" t="s">
        <v>964</v>
      </c>
      <c r="E273" s="1048" t="s">
        <v>2015</v>
      </c>
      <c r="F273" s="1036">
        <v>1</v>
      </c>
      <c r="G273" s="1035">
        <v>132</v>
      </c>
      <c r="H273" s="736">
        <v>55</v>
      </c>
      <c r="I273" s="591"/>
      <c r="J273" s="591"/>
    </row>
    <row r="274" spans="2:10">
      <c r="B274" s="590">
        <v>269</v>
      </c>
      <c r="C274" s="1039" t="s">
        <v>1781</v>
      </c>
      <c r="D274" s="1035" t="s">
        <v>964</v>
      </c>
      <c r="E274" s="1048" t="s">
        <v>2015</v>
      </c>
      <c r="F274" s="1036">
        <v>1</v>
      </c>
      <c r="G274" s="1035">
        <v>132</v>
      </c>
      <c r="H274" s="736">
        <v>34</v>
      </c>
      <c r="I274" s="591"/>
      <c r="J274" s="591"/>
    </row>
    <row r="275" spans="2:10">
      <c r="B275" s="590">
        <v>270</v>
      </c>
      <c r="C275" s="1038" t="s">
        <v>1416</v>
      </c>
      <c r="D275" s="1035" t="s">
        <v>964</v>
      </c>
      <c r="E275" s="1048" t="s">
        <v>2015</v>
      </c>
      <c r="F275" s="1036">
        <v>1</v>
      </c>
      <c r="G275" s="1035">
        <v>132</v>
      </c>
      <c r="H275" s="736">
        <v>10</v>
      </c>
      <c r="I275" s="593"/>
      <c r="J275" s="593"/>
    </row>
    <row r="276" spans="2:10">
      <c r="B276" s="590">
        <v>271</v>
      </c>
      <c r="C276" s="1034" t="s">
        <v>1782</v>
      </c>
      <c r="D276" s="1035" t="s">
        <v>964</v>
      </c>
      <c r="E276" s="1048" t="s">
        <v>2015</v>
      </c>
      <c r="F276" s="1036">
        <v>1</v>
      </c>
      <c r="G276" s="1035">
        <v>132</v>
      </c>
      <c r="H276" s="736">
        <v>82</v>
      </c>
      <c r="I276" s="592"/>
      <c r="J276" s="592"/>
    </row>
    <row r="277" spans="2:10" ht="30">
      <c r="B277" s="590">
        <v>272</v>
      </c>
      <c r="C277" s="1049" t="s">
        <v>1417</v>
      </c>
      <c r="D277" s="1035" t="s">
        <v>964</v>
      </c>
      <c r="E277" s="1048" t="s">
        <v>2015</v>
      </c>
      <c r="F277" s="1036">
        <v>1</v>
      </c>
      <c r="G277" s="1035">
        <v>132</v>
      </c>
      <c r="H277" s="736">
        <v>0.8</v>
      </c>
      <c r="I277" s="592"/>
      <c r="J277" s="592"/>
    </row>
    <row r="278" spans="2:10">
      <c r="B278" s="590">
        <v>273</v>
      </c>
      <c r="C278" s="1034" t="s">
        <v>1419</v>
      </c>
      <c r="D278" s="1035" t="s">
        <v>964</v>
      </c>
      <c r="E278" s="1048" t="s">
        <v>2015</v>
      </c>
      <c r="F278" s="1036">
        <v>1</v>
      </c>
      <c r="G278" s="1035">
        <v>132</v>
      </c>
      <c r="H278" s="736">
        <v>1</v>
      </c>
      <c r="I278" s="591"/>
      <c r="J278" s="591"/>
    </row>
    <row r="279" spans="2:10">
      <c r="B279" s="590">
        <v>274</v>
      </c>
      <c r="C279" s="1034" t="s">
        <v>1329</v>
      </c>
      <c r="D279" s="1035" t="s">
        <v>964</v>
      </c>
      <c r="E279" s="1048" t="s">
        <v>2015</v>
      </c>
      <c r="F279" s="1036">
        <v>1</v>
      </c>
      <c r="G279" s="1035">
        <v>132</v>
      </c>
      <c r="H279" s="736">
        <v>30</v>
      </c>
      <c r="I279" s="591"/>
      <c r="J279" s="591"/>
    </row>
    <row r="280" spans="2:10" ht="30">
      <c r="B280" s="590">
        <v>275</v>
      </c>
      <c r="C280" s="1038" t="s">
        <v>1783</v>
      </c>
      <c r="D280" s="1035" t="s">
        <v>964</v>
      </c>
      <c r="E280" s="1048" t="s">
        <v>2015</v>
      </c>
      <c r="F280" s="1036">
        <v>1</v>
      </c>
      <c r="G280" s="1035">
        <v>132</v>
      </c>
      <c r="H280" s="736">
        <v>8</v>
      </c>
      <c r="I280" s="592"/>
      <c r="J280" s="592"/>
    </row>
    <row r="281" spans="2:10">
      <c r="B281" s="590">
        <v>276</v>
      </c>
      <c r="C281" s="1037" t="s">
        <v>1784</v>
      </c>
      <c r="D281" s="1035" t="s">
        <v>964</v>
      </c>
      <c r="E281" s="1048" t="s">
        <v>2015</v>
      </c>
      <c r="F281" s="1036">
        <v>1</v>
      </c>
      <c r="G281" s="1035">
        <v>132</v>
      </c>
      <c r="H281" s="737">
        <v>36.29</v>
      </c>
      <c r="I281" s="592"/>
      <c r="J281" s="592"/>
    </row>
    <row r="282" spans="2:10">
      <c r="B282" s="590">
        <v>277</v>
      </c>
      <c r="C282" s="1037" t="s">
        <v>1785</v>
      </c>
      <c r="D282" s="1035" t="s">
        <v>964</v>
      </c>
      <c r="E282" s="1048" t="s">
        <v>2015</v>
      </c>
      <c r="F282" s="1036">
        <v>1</v>
      </c>
      <c r="G282" s="1035">
        <v>132</v>
      </c>
      <c r="H282" s="726">
        <v>5.37</v>
      </c>
      <c r="I282" s="591"/>
      <c r="J282" s="591"/>
    </row>
    <row r="283" spans="2:10">
      <c r="B283" s="590">
        <v>278</v>
      </c>
      <c r="C283" s="1037" t="s">
        <v>2083</v>
      </c>
      <c r="D283" s="1035" t="s">
        <v>964</v>
      </c>
      <c r="E283" s="1035" t="s">
        <v>2017</v>
      </c>
      <c r="F283" s="1036">
        <v>1</v>
      </c>
      <c r="G283" s="1035">
        <v>132</v>
      </c>
      <c r="H283" s="726">
        <v>16</v>
      </c>
      <c r="I283" s="592"/>
      <c r="J283" s="592"/>
    </row>
    <row r="284" spans="2:10">
      <c r="B284" s="590">
        <v>279</v>
      </c>
      <c r="C284" s="1037" t="s">
        <v>1786</v>
      </c>
      <c r="D284" s="1035" t="s">
        <v>964</v>
      </c>
      <c r="E284" s="1048" t="s">
        <v>2015</v>
      </c>
      <c r="F284" s="1036">
        <v>1</v>
      </c>
      <c r="G284" s="1035">
        <v>132</v>
      </c>
      <c r="H284" s="737">
        <v>8.5299999999999994</v>
      </c>
      <c r="I284" s="591"/>
      <c r="J284" s="591"/>
    </row>
    <row r="285" spans="2:10">
      <c r="B285" s="590">
        <v>280</v>
      </c>
      <c r="C285" s="1037" t="s">
        <v>2084</v>
      </c>
      <c r="D285" s="1035" t="s">
        <v>964</v>
      </c>
      <c r="E285" s="1048" t="s">
        <v>2015</v>
      </c>
      <c r="F285" s="1036">
        <v>1</v>
      </c>
      <c r="G285" s="1035">
        <v>132</v>
      </c>
      <c r="H285" s="738">
        <v>18.54</v>
      </c>
      <c r="I285" s="591"/>
      <c r="J285" s="591"/>
    </row>
    <row r="286" spans="2:10">
      <c r="B286" s="590">
        <v>281</v>
      </c>
      <c r="C286" s="1037" t="s">
        <v>2085</v>
      </c>
      <c r="D286" s="1035" t="s">
        <v>964</v>
      </c>
      <c r="E286" s="1035" t="s">
        <v>2017</v>
      </c>
      <c r="F286" s="1036">
        <v>1</v>
      </c>
      <c r="G286" s="1035">
        <v>132</v>
      </c>
      <c r="H286" s="741">
        <v>64.239999999999995</v>
      </c>
      <c r="I286" s="592"/>
      <c r="J286" s="592"/>
    </row>
    <row r="287" spans="2:10">
      <c r="B287" s="590">
        <v>282</v>
      </c>
      <c r="C287" s="1037" t="s">
        <v>2086</v>
      </c>
      <c r="D287" s="1035" t="s">
        <v>964</v>
      </c>
      <c r="E287" s="1035" t="s">
        <v>2017</v>
      </c>
      <c r="F287" s="1036">
        <v>1</v>
      </c>
      <c r="G287" s="1035">
        <v>132</v>
      </c>
      <c r="H287" s="279">
        <v>25.08</v>
      </c>
      <c r="I287" s="592"/>
      <c r="J287" s="592"/>
    </row>
    <row r="288" spans="2:10">
      <c r="B288" s="590">
        <v>283</v>
      </c>
      <c r="C288" s="1037" t="s">
        <v>2087</v>
      </c>
      <c r="D288" s="1035" t="s">
        <v>964</v>
      </c>
      <c r="E288" s="1048" t="s">
        <v>2015</v>
      </c>
      <c r="F288" s="1036">
        <v>1</v>
      </c>
      <c r="G288" s="1035">
        <v>132</v>
      </c>
      <c r="H288" s="739">
        <v>8.6809999999999992</v>
      </c>
      <c r="I288" s="592"/>
      <c r="J288" s="592"/>
    </row>
    <row r="289" spans="2:10">
      <c r="B289" s="590">
        <v>284</v>
      </c>
      <c r="C289" s="1037" t="s">
        <v>2088</v>
      </c>
      <c r="D289" s="1035" t="s">
        <v>964</v>
      </c>
      <c r="E289" s="1048" t="s">
        <v>2015</v>
      </c>
      <c r="F289" s="1036">
        <v>1</v>
      </c>
      <c r="G289" s="1035">
        <v>132</v>
      </c>
      <c r="H289" s="739">
        <v>30</v>
      </c>
      <c r="I289" s="592"/>
      <c r="J289" s="592"/>
    </row>
    <row r="290" spans="2:10">
      <c r="B290" s="590">
        <v>285</v>
      </c>
      <c r="C290" s="1037" t="s">
        <v>2089</v>
      </c>
      <c r="D290" s="1035" t="s">
        <v>964</v>
      </c>
      <c r="E290" s="1035" t="s">
        <v>2017</v>
      </c>
      <c r="F290" s="1036">
        <v>1</v>
      </c>
      <c r="G290" s="1035">
        <v>132</v>
      </c>
      <c r="H290" s="737">
        <v>45.28</v>
      </c>
      <c r="I290" s="592"/>
      <c r="J290" s="592"/>
    </row>
    <row r="291" spans="2:10">
      <c r="B291" s="590">
        <v>286</v>
      </c>
      <c r="C291" s="744" t="s">
        <v>2090</v>
      </c>
      <c r="D291" s="1035" t="s">
        <v>964</v>
      </c>
      <c r="E291" s="1048" t="s">
        <v>2015</v>
      </c>
      <c r="F291" s="1036">
        <v>1</v>
      </c>
      <c r="G291" s="1035">
        <v>132</v>
      </c>
      <c r="H291" s="736">
        <v>28.245000000000001</v>
      </c>
      <c r="I291" s="592"/>
      <c r="J291" s="592"/>
    </row>
    <row r="292" spans="2:10">
      <c r="B292" s="590">
        <v>287</v>
      </c>
      <c r="C292" s="744" t="s">
        <v>2091</v>
      </c>
      <c r="D292" s="1035" t="s">
        <v>964</v>
      </c>
      <c r="E292" s="1048" t="s">
        <v>2015</v>
      </c>
      <c r="F292" s="1036">
        <v>1</v>
      </c>
      <c r="G292" s="1035">
        <v>132</v>
      </c>
      <c r="H292" s="736">
        <v>8.4250000000000007</v>
      </c>
      <c r="I292" s="592"/>
      <c r="J292" s="592"/>
    </row>
    <row r="293" spans="2:10">
      <c r="B293" s="590">
        <v>288</v>
      </c>
      <c r="C293" s="1050" t="s">
        <v>2092</v>
      </c>
      <c r="D293" s="1050" t="s">
        <v>964</v>
      </c>
      <c r="E293" s="1036" t="s">
        <v>2093</v>
      </c>
      <c r="F293" s="1036">
        <v>2</v>
      </c>
      <c r="G293" s="1036">
        <v>220</v>
      </c>
      <c r="H293" s="726">
        <v>6.68</v>
      </c>
      <c r="I293" s="592"/>
      <c r="J293" s="592"/>
    </row>
    <row r="294" spans="2:10">
      <c r="B294" s="590">
        <v>289</v>
      </c>
      <c r="C294" s="1050" t="s">
        <v>2094</v>
      </c>
      <c r="D294" s="1050" t="s">
        <v>964</v>
      </c>
      <c r="E294" s="1036" t="s">
        <v>2017</v>
      </c>
      <c r="F294" s="1036">
        <v>1</v>
      </c>
      <c r="G294" s="1036">
        <v>220</v>
      </c>
      <c r="H294" s="279">
        <v>67.7</v>
      </c>
      <c r="I294" s="592"/>
      <c r="J294" s="592"/>
    </row>
    <row r="295" spans="2:10">
      <c r="B295" s="590">
        <v>290</v>
      </c>
      <c r="C295" s="1050" t="s">
        <v>2095</v>
      </c>
      <c r="D295" s="1050" t="s">
        <v>964</v>
      </c>
      <c r="E295" s="1036" t="s">
        <v>2017</v>
      </c>
      <c r="F295" s="1036">
        <v>1</v>
      </c>
      <c r="G295" s="1036">
        <v>220</v>
      </c>
      <c r="H295" s="742">
        <v>93.38</v>
      </c>
      <c r="I295" s="591"/>
      <c r="J295" s="591"/>
    </row>
    <row r="296" spans="2:10">
      <c r="B296" s="590">
        <v>291</v>
      </c>
      <c r="C296" s="1050" t="s">
        <v>2096</v>
      </c>
      <c r="D296" s="1050" t="s">
        <v>964</v>
      </c>
      <c r="E296" s="1036" t="s">
        <v>2017</v>
      </c>
      <c r="F296" s="1036">
        <v>1</v>
      </c>
      <c r="G296" s="1036">
        <v>220</v>
      </c>
      <c r="H296" s="279">
        <v>94</v>
      </c>
      <c r="I296" s="592"/>
      <c r="J296" s="592"/>
    </row>
    <row r="297" spans="2:10">
      <c r="B297" s="590">
        <v>292</v>
      </c>
      <c r="C297" s="1050" t="s">
        <v>2097</v>
      </c>
      <c r="D297" s="1050" t="s">
        <v>964</v>
      </c>
      <c r="E297" s="1036" t="s">
        <v>2017</v>
      </c>
      <c r="F297" s="1036">
        <v>1</v>
      </c>
      <c r="G297" s="1036">
        <v>220</v>
      </c>
      <c r="H297" s="279">
        <v>34</v>
      </c>
      <c r="I297" s="592"/>
      <c r="J297" s="592"/>
    </row>
    <row r="298" spans="2:10">
      <c r="B298" s="590">
        <v>293</v>
      </c>
      <c r="C298" s="1050" t="s">
        <v>2098</v>
      </c>
      <c r="D298" s="1050" t="s">
        <v>964</v>
      </c>
      <c r="E298" s="1036" t="s">
        <v>2017</v>
      </c>
      <c r="F298" s="1036">
        <v>1</v>
      </c>
      <c r="G298" s="1036">
        <v>220</v>
      </c>
      <c r="H298" s="279">
        <v>163.9</v>
      </c>
      <c r="I298" s="592"/>
      <c r="J298" s="592"/>
    </row>
    <row r="299" spans="2:10">
      <c r="B299" s="590">
        <v>294</v>
      </c>
      <c r="C299" s="1050" t="s">
        <v>2099</v>
      </c>
      <c r="D299" s="1050" t="s">
        <v>964</v>
      </c>
      <c r="E299" s="1036" t="s">
        <v>2015</v>
      </c>
      <c r="F299" s="1036">
        <v>1</v>
      </c>
      <c r="G299" s="1036">
        <v>220</v>
      </c>
      <c r="H299" s="279">
        <v>60</v>
      </c>
      <c r="I299" s="591"/>
      <c r="J299" s="591"/>
    </row>
    <row r="300" spans="2:10">
      <c r="B300" s="590">
        <v>295</v>
      </c>
      <c r="C300" s="1050" t="s">
        <v>2100</v>
      </c>
      <c r="D300" s="1050" t="s">
        <v>964</v>
      </c>
      <c r="E300" s="1036" t="s">
        <v>2015</v>
      </c>
      <c r="F300" s="1036">
        <v>1</v>
      </c>
      <c r="G300" s="1036">
        <v>220</v>
      </c>
      <c r="H300" s="744">
        <v>31</v>
      </c>
      <c r="I300" s="591"/>
      <c r="J300" s="591"/>
    </row>
    <row r="301" spans="2:10">
      <c r="B301" s="590">
        <v>296</v>
      </c>
      <c r="C301" s="1050" t="s">
        <v>2101</v>
      </c>
      <c r="D301" s="1050" t="s">
        <v>964</v>
      </c>
      <c r="E301" s="1036" t="s">
        <v>2017</v>
      </c>
      <c r="F301" s="1036">
        <v>1</v>
      </c>
      <c r="G301" s="1036">
        <v>220</v>
      </c>
      <c r="H301" s="744">
        <v>0.9</v>
      </c>
      <c r="I301" s="591"/>
      <c r="J301" s="591"/>
    </row>
    <row r="302" spans="2:10">
      <c r="B302" s="590">
        <v>297</v>
      </c>
      <c r="C302" s="1050" t="s">
        <v>2102</v>
      </c>
      <c r="D302" s="1050" t="s">
        <v>964</v>
      </c>
      <c r="E302" s="1036" t="s">
        <v>2015</v>
      </c>
      <c r="F302" s="1036">
        <v>1</v>
      </c>
      <c r="G302" s="1036">
        <v>220</v>
      </c>
      <c r="H302" s="744">
        <v>30</v>
      </c>
      <c r="I302" s="591"/>
      <c r="J302" s="591"/>
    </row>
    <row r="303" spans="2:10">
      <c r="B303" s="590">
        <v>298</v>
      </c>
      <c r="C303" s="1050" t="s">
        <v>2103</v>
      </c>
      <c r="D303" s="1050" t="s">
        <v>964</v>
      </c>
      <c r="E303" s="1036" t="s">
        <v>2015</v>
      </c>
      <c r="F303" s="1036">
        <v>1</v>
      </c>
      <c r="G303" s="1036">
        <v>220</v>
      </c>
      <c r="H303" s="736">
        <v>29</v>
      </c>
      <c r="I303" s="591"/>
      <c r="J303" s="591"/>
    </row>
    <row r="304" spans="2:10">
      <c r="B304" s="590">
        <v>299</v>
      </c>
      <c r="C304" s="1050" t="s">
        <v>2104</v>
      </c>
      <c r="D304" s="1050" t="s">
        <v>964</v>
      </c>
      <c r="E304" s="1036" t="s">
        <v>2015</v>
      </c>
      <c r="F304" s="1036">
        <v>1</v>
      </c>
      <c r="G304" s="1036">
        <v>220</v>
      </c>
      <c r="H304" s="736">
        <v>30</v>
      </c>
      <c r="I304" s="591"/>
      <c r="J304" s="591"/>
    </row>
    <row r="305" spans="2:10">
      <c r="B305" s="590">
        <v>300</v>
      </c>
      <c r="C305" s="1050" t="s">
        <v>2105</v>
      </c>
      <c r="D305" s="1050" t="s">
        <v>964</v>
      </c>
      <c r="E305" s="1036" t="s">
        <v>2015</v>
      </c>
      <c r="F305" s="1036">
        <v>1</v>
      </c>
      <c r="G305" s="1036">
        <v>220</v>
      </c>
      <c r="H305" s="736">
        <v>39</v>
      </c>
      <c r="I305" s="591"/>
      <c r="J305" s="591"/>
    </row>
    <row r="306" spans="2:10">
      <c r="B306" s="590">
        <v>301</v>
      </c>
      <c r="C306" s="1050" t="s">
        <v>2106</v>
      </c>
      <c r="D306" s="1050" t="s">
        <v>964</v>
      </c>
      <c r="E306" s="1036" t="s">
        <v>2017</v>
      </c>
      <c r="F306" s="1036">
        <v>1</v>
      </c>
      <c r="G306" s="1036">
        <v>220</v>
      </c>
      <c r="H306" s="736">
        <v>83.2</v>
      </c>
      <c r="I306" s="591"/>
      <c r="J306" s="591"/>
    </row>
    <row r="307" spans="2:10">
      <c r="B307" s="590">
        <v>302</v>
      </c>
      <c r="C307" s="1050" t="s">
        <v>2107</v>
      </c>
      <c r="D307" s="1050" t="s">
        <v>964</v>
      </c>
      <c r="E307" s="1036" t="s">
        <v>2015</v>
      </c>
      <c r="F307" s="1036">
        <v>2</v>
      </c>
      <c r="G307" s="1036">
        <v>220</v>
      </c>
      <c r="H307" s="744">
        <v>73</v>
      </c>
      <c r="I307" s="591"/>
      <c r="J307" s="591"/>
    </row>
    <row r="308" spans="2:10">
      <c r="B308" s="590">
        <v>303</v>
      </c>
      <c r="C308" s="1050" t="s">
        <v>2108</v>
      </c>
      <c r="D308" s="1050" t="s">
        <v>964</v>
      </c>
      <c r="E308" s="1036" t="s">
        <v>2017</v>
      </c>
      <c r="F308" s="1036">
        <v>1</v>
      </c>
      <c r="G308" s="1036">
        <v>220</v>
      </c>
      <c r="H308" s="744">
        <v>150.96</v>
      </c>
      <c r="I308" s="591"/>
      <c r="J308" s="591"/>
    </row>
    <row r="309" spans="2:10">
      <c r="B309" s="590">
        <v>304</v>
      </c>
      <c r="C309" s="1050" t="s">
        <v>2109</v>
      </c>
      <c r="D309" s="1050" t="s">
        <v>964</v>
      </c>
      <c r="E309" s="1036" t="s">
        <v>2015</v>
      </c>
      <c r="F309" s="1036">
        <v>1</v>
      </c>
      <c r="G309" s="1036">
        <v>220</v>
      </c>
      <c r="H309" s="744">
        <v>4.75</v>
      </c>
      <c r="I309" s="591"/>
      <c r="J309" s="591"/>
    </row>
    <row r="310" spans="2:10">
      <c r="B310" s="590">
        <v>305</v>
      </c>
      <c r="C310" s="1050" t="s">
        <v>2110</v>
      </c>
      <c r="D310" s="1050" t="s">
        <v>964</v>
      </c>
      <c r="E310" s="1036" t="s">
        <v>2015</v>
      </c>
      <c r="F310" s="1036">
        <v>1</v>
      </c>
      <c r="G310" s="1036">
        <v>220</v>
      </c>
      <c r="H310" s="744">
        <v>4.2</v>
      </c>
      <c r="I310" s="591"/>
      <c r="J310" s="591"/>
    </row>
    <row r="311" spans="2:10">
      <c r="B311" s="590">
        <v>306</v>
      </c>
      <c r="C311" s="1050" t="s">
        <v>2111</v>
      </c>
      <c r="D311" s="1050" t="s">
        <v>964</v>
      </c>
      <c r="E311" s="1036" t="s">
        <v>2015</v>
      </c>
      <c r="F311" s="1036">
        <v>1</v>
      </c>
      <c r="G311" s="1036">
        <v>220</v>
      </c>
      <c r="H311" s="744">
        <v>4.75</v>
      </c>
      <c r="I311" s="591"/>
      <c r="J311" s="591"/>
    </row>
    <row r="312" spans="2:10">
      <c r="B312" s="590">
        <v>307</v>
      </c>
      <c r="C312" s="1050" t="s">
        <v>2112</v>
      </c>
      <c r="D312" s="1050" t="s">
        <v>964</v>
      </c>
      <c r="E312" s="1036" t="s">
        <v>2015</v>
      </c>
      <c r="F312" s="1036">
        <v>1</v>
      </c>
      <c r="G312" s="1036">
        <v>220</v>
      </c>
      <c r="H312" s="744">
        <v>4.2</v>
      </c>
      <c r="I312" s="591"/>
      <c r="J312" s="591"/>
    </row>
    <row r="313" spans="2:10">
      <c r="B313" s="590">
        <v>308</v>
      </c>
      <c r="C313" s="1050" t="s">
        <v>2113</v>
      </c>
      <c r="D313" s="1050" t="s">
        <v>964</v>
      </c>
      <c r="E313" s="1036" t="s">
        <v>2015</v>
      </c>
      <c r="F313" s="1036">
        <v>2</v>
      </c>
      <c r="G313" s="1036">
        <v>220</v>
      </c>
      <c r="H313" s="744">
        <v>0.3</v>
      </c>
      <c r="I313" s="591"/>
      <c r="J313" s="591"/>
    </row>
    <row r="314" spans="2:10">
      <c r="B314" s="590">
        <v>309</v>
      </c>
      <c r="C314" s="1050" t="s">
        <v>2114</v>
      </c>
      <c r="D314" s="1050" t="s">
        <v>964</v>
      </c>
      <c r="E314" s="1036" t="s">
        <v>2017</v>
      </c>
      <c r="F314" s="1036">
        <v>1</v>
      </c>
      <c r="G314" s="1036">
        <v>220</v>
      </c>
      <c r="H314" s="736">
        <v>30</v>
      </c>
      <c r="I314" s="591"/>
      <c r="J314" s="591"/>
    </row>
    <row r="315" spans="2:10">
      <c r="B315" s="590">
        <v>310</v>
      </c>
      <c r="C315" s="1050" t="s">
        <v>2115</v>
      </c>
      <c r="D315" s="1050" t="s">
        <v>964</v>
      </c>
      <c r="E315" s="1036" t="s">
        <v>2017</v>
      </c>
      <c r="F315" s="1036">
        <v>1</v>
      </c>
      <c r="G315" s="1036">
        <v>220</v>
      </c>
      <c r="H315" s="736">
        <v>26</v>
      </c>
      <c r="I315" s="591"/>
      <c r="J315" s="591"/>
    </row>
    <row r="316" spans="2:10">
      <c r="B316" s="590">
        <v>311</v>
      </c>
      <c r="C316" s="1050" t="s">
        <v>2116</v>
      </c>
      <c r="D316" s="1050" t="s">
        <v>964</v>
      </c>
      <c r="E316" s="1036" t="s">
        <v>2017</v>
      </c>
      <c r="F316" s="1036">
        <v>1</v>
      </c>
      <c r="G316" s="1036">
        <v>220</v>
      </c>
      <c r="H316" s="744">
        <v>94</v>
      </c>
      <c r="I316" s="591"/>
      <c r="J316" s="591"/>
    </row>
    <row r="317" spans="2:10" ht="25.5">
      <c r="B317" s="590">
        <v>312</v>
      </c>
      <c r="C317" s="1050" t="s">
        <v>2117</v>
      </c>
      <c r="D317" s="1050" t="s">
        <v>964</v>
      </c>
      <c r="E317" s="1036" t="s">
        <v>2017</v>
      </c>
      <c r="F317" s="1036">
        <v>1</v>
      </c>
      <c r="G317" s="1036">
        <v>220</v>
      </c>
      <c r="H317" s="744">
        <v>170</v>
      </c>
      <c r="I317" s="591"/>
      <c r="J317" s="591"/>
    </row>
    <row r="318" spans="2:10" ht="25.5">
      <c r="B318" s="590">
        <v>313</v>
      </c>
      <c r="C318" s="1050" t="s">
        <v>2118</v>
      </c>
      <c r="D318" s="1050" t="s">
        <v>964</v>
      </c>
      <c r="E318" s="1036" t="s">
        <v>2017</v>
      </c>
      <c r="F318" s="1036">
        <v>1</v>
      </c>
      <c r="G318" s="1036">
        <v>220</v>
      </c>
      <c r="H318" s="744">
        <v>110</v>
      </c>
      <c r="I318" s="591"/>
      <c r="J318" s="591"/>
    </row>
    <row r="319" spans="2:10">
      <c r="B319" s="590">
        <v>314</v>
      </c>
      <c r="C319" s="1050" t="s">
        <v>2119</v>
      </c>
      <c r="D319" s="1050" t="s">
        <v>964</v>
      </c>
      <c r="E319" s="1036" t="s">
        <v>2017</v>
      </c>
      <c r="F319" s="1036">
        <v>1</v>
      </c>
      <c r="G319" s="1036">
        <v>220</v>
      </c>
      <c r="H319" s="744">
        <v>202.7</v>
      </c>
      <c r="I319" s="591"/>
      <c r="J319" s="591"/>
    </row>
    <row r="320" spans="2:10">
      <c r="B320" s="590">
        <v>315</v>
      </c>
      <c r="C320" s="1050" t="s">
        <v>2120</v>
      </c>
      <c r="D320" s="1050" t="s">
        <v>964</v>
      </c>
      <c r="E320" s="1036" t="s">
        <v>2017</v>
      </c>
      <c r="F320" s="1036">
        <v>1</v>
      </c>
      <c r="G320" s="1036">
        <v>220</v>
      </c>
      <c r="H320" s="744">
        <v>75.599999999999994</v>
      </c>
      <c r="I320" s="591"/>
      <c r="J320" s="591"/>
    </row>
    <row r="321" spans="2:10">
      <c r="B321" s="590">
        <v>316</v>
      </c>
      <c r="C321" s="1050" t="s">
        <v>2121</v>
      </c>
      <c r="D321" s="1050" t="s">
        <v>964</v>
      </c>
      <c r="E321" s="1036" t="s">
        <v>2015</v>
      </c>
      <c r="F321" s="1036">
        <v>1</v>
      </c>
      <c r="G321" s="1036">
        <v>220</v>
      </c>
      <c r="H321" s="744">
        <v>96.2</v>
      </c>
      <c r="I321" s="591"/>
      <c r="J321" s="591"/>
    </row>
    <row r="322" spans="2:10">
      <c r="B322" s="590">
        <v>317</v>
      </c>
      <c r="C322" s="1050" t="s">
        <v>2122</v>
      </c>
      <c r="D322" s="1050" t="s">
        <v>964</v>
      </c>
      <c r="E322" s="1036" t="s">
        <v>2015</v>
      </c>
      <c r="F322" s="1036">
        <v>1</v>
      </c>
      <c r="G322" s="1036">
        <v>220</v>
      </c>
      <c r="H322" s="744">
        <v>90</v>
      </c>
      <c r="I322" s="591"/>
      <c r="J322" s="591"/>
    </row>
    <row r="323" spans="2:10">
      <c r="B323" s="590">
        <v>318</v>
      </c>
      <c r="C323" s="1050" t="s">
        <v>2123</v>
      </c>
      <c r="D323" s="1050" t="s">
        <v>964</v>
      </c>
      <c r="E323" s="1036" t="s">
        <v>2015</v>
      </c>
      <c r="F323" s="1036">
        <v>1</v>
      </c>
      <c r="G323" s="1036">
        <v>220</v>
      </c>
      <c r="H323" s="744">
        <v>58</v>
      </c>
      <c r="I323" s="591"/>
      <c r="J323" s="591"/>
    </row>
    <row r="324" spans="2:10">
      <c r="B324" s="590">
        <v>319</v>
      </c>
      <c r="C324" s="1050" t="s">
        <v>2124</v>
      </c>
      <c r="D324" s="1050" t="s">
        <v>964</v>
      </c>
      <c r="E324" s="1036" t="s">
        <v>2015</v>
      </c>
      <c r="F324" s="1036">
        <v>1</v>
      </c>
      <c r="G324" s="1036">
        <v>220</v>
      </c>
      <c r="H324" s="744">
        <v>55</v>
      </c>
      <c r="I324" s="591"/>
      <c r="J324" s="591"/>
    </row>
    <row r="325" spans="2:10">
      <c r="B325" s="590">
        <v>320</v>
      </c>
      <c r="C325" s="1050" t="s">
        <v>2125</v>
      </c>
      <c r="D325" s="1050" t="s">
        <v>964</v>
      </c>
      <c r="E325" s="1036" t="s">
        <v>2017</v>
      </c>
      <c r="F325" s="1036">
        <v>1</v>
      </c>
      <c r="G325" s="1036">
        <v>220</v>
      </c>
      <c r="H325" s="744">
        <v>200.18</v>
      </c>
      <c r="I325" s="591"/>
      <c r="J325" s="591"/>
    </row>
    <row r="326" spans="2:10">
      <c r="B326" s="590">
        <v>321</v>
      </c>
      <c r="C326" s="1050" t="s">
        <v>2126</v>
      </c>
      <c r="D326" s="1050" t="s">
        <v>964</v>
      </c>
      <c r="E326" s="1036" t="s">
        <v>2017</v>
      </c>
      <c r="F326" s="1036">
        <v>1</v>
      </c>
      <c r="G326" s="1036">
        <v>220</v>
      </c>
      <c r="H326" s="744">
        <v>104</v>
      </c>
      <c r="I326" s="591"/>
      <c r="J326" s="591"/>
    </row>
    <row r="327" spans="2:10">
      <c r="B327" s="590">
        <v>322</v>
      </c>
      <c r="C327" s="1050" t="s">
        <v>2127</v>
      </c>
      <c r="D327" s="1050" t="s">
        <v>964</v>
      </c>
      <c r="E327" s="1036" t="s">
        <v>2017</v>
      </c>
      <c r="F327" s="1036">
        <v>1</v>
      </c>
      <c r="G327" s="1036">
        <v>220</v>
      </c>
      <c r="H327" s="744">
        <v>8.52</v>
      </c>
      <c r="I327" s="591"/>
      <c r="J327" s="591"/>
    </row>
    <row r="328" spans="2:10">
      <c r="B328" s="590">
        <v>323</v>
      </c>
      <c r="C328" s="1050" t="s">
        <v>2128</v>
      </c>
      <c r="D328" s="1050" t="s">
        <v>964</v>
      </c>
      <c r="E328" s="1036" t="s">
        <v>2017</v>
      </c>
      <c r="F328" s="1036">
        <v>1</v>
      </c>
      <c r="G328" s="1036">
        <v>220</v>
      </c>
      <c r="H328" s="744">
        <v>9</v>
      </c>
      <c r="I328" s="591"/>
      <c r="J328" s="591"/>
    </row>
    <row r="329" spans="2:10">
      <c r="B329" s="590">
        <v>324</v>
      </c>
      <c r="C329" s="1050" t="s">
        <v>2129</v>
      </c>
      <c r="D329" s="1050" t="s">
        <v>964</v>
      </c>
      <c r="E329" s="1036" t="s">
        <v>2015</v>
      </c>
      <c r="F329" s="1036">
        <v>1</v>
      </c>
      <c r="G329" s="1036">
        <v>220</v>
      </c>
      <c r="H329" s="736">
        <v>48</v>
      </c>
      <c r="I329" s="591"/>
      <c r="J329" s="591"/>
    </row>
    <row r="330" spans="2:10">
      <c r="B330" s="590">
        <v>325</v>
      </c>
      <c r="C330" s="1050" t="s">
        <v>2130</v>
      </c>
      <c r="D330" s="1050" t="s">
        <v>964</v>
      </c>
      <c r="E330" s="1036" t="s">
        <v>2017</v>
      </c>
      <c r="F330" s="1036">
        <v>1</v>
      </c>
      <c r="G330" s="1036">
        <v>220</v>
      </c>
      <c r="H330" s="736">
        <v>218</v>
      </c>
      <c r="I330" s="591"/>
      <c r="J330" s="591"/>
    </row>
    <row r="331" spans="2:10">
      <c r="B331" s="590">
        <v>326</v>
      </c>
      <c r="C331" s="1050" t="s">
        <v>2131</v>
      </c>
      <c r="D331" s="1050" t="s">
        <v>964</v>
      </c>
      <c r="E331" s="1036" t="s">
        <v>2017</v>
      </c>
      <c r="F331" s="1036">
        <v>1</v>
      </c>
      <c r="G331" s="1036">
        <v>220</v>
      </c>
      <c r="H331" s="744">
        <v>178</v>
      </c>
      <c r="I331" s="591"/>
      <c r="J331" s="591"/>
    </row>
    <row r="332" spans="2:10">
      <c r="B332" s="590">
        <v>327</v>
      </c>
      <c r="C332" s="1050" t="s">
        <v>2132</v>
      </c>
      <c r="D332" s="1050" t="s">
        <v>964</v>
      </c>
      <c r="E332" s="1036" t="s">
        <v>2017</v>
      </c>
      <c r="F332" s="1036">
        <v>1</v>
      </c>
      <c r="G332" s="1036">
        <v>220</v>
      </c>
      <c r="H332" s="744">
        <v>132</v>
      </c>
      <c r="I332" s="591"/>
      <c r="J332" s="591"/>
    </row>
    <row r="333" spans="2:10">
      <c r="B333" s="590">
        <v>328</v>
      </c>
      <c r="C333" s="1050" t="s">
        <v>2133</v>
      </c>
      <c r="D333" s="1050" t="s">
        <v>964</v>
      </c>
      <c r="E333" s="1036" t="s">
        <v>2017</v>
      </c>
      <c r="F333" s="1036">
        <v>1</v>
      </c>
      <c r="G333" s="1036">
        <v>220</v>
      </c>
      <c r="H333" s="744">
        <v>5.86</v>
      </c>
      <c r="I333" s="591"/>
      <c r="J333" s="591"/>
    </row>
    <row r="334" spans="2:10">
      <c r="B334" s="590">
        <v>329</v>
      </c>
      <c r="C334" s="1050" t="s">
        <v>2134</v>
      </c>
      <c r="D334" s="1050" t="s">
        <v>964</v>
      </c>
      <c r="E334" s="1036" t="s">
        <v>2017</v>
      </c>
      <c r="F334" s="1036">
        <v>1</v>
      </c>
      <c r="G334" s="1036">
        <v>220</v>
      </c>
      <c r="H334" s="744">
        <v>204</v>
      </c>
      <c r="I334" s="591"/>
      <c r="J334" s="591"/>
    </row>
    <row r="335" spans="2:10">
      <c r="B335" s="590">
        <v>330</v>
      </c>
      <c r="C335" s="1050" t="s">
        <v>2135</v>
      </c>
      <c r="D335" s="1050" t="s">
        <v>964</v>
      </c>
      <c r="E335" s="1036" t="s">
        <v>2017</v>
      </c>
      <c r="F335" s="1036">
        <v>1</v>
      </c>
      <c r="G335" s="1036">
        <v>220</v>
      </c>
      <c r="H335" s="744">
        <v>196</v>
      </c>
      <c r="I335" s="591"/>
      <c r="J335" s="591"/>
    </row>
    <row r="336" spans="2:10">
      <c r="B336" s="590">
        <v>331</v>
      </c>
      <c r="C336" s="1050" t="s">
        <v>2136</v>
      </c>
      <c r="D336" s="1050" t="s">
        <v>964</v>
      </c>
      <c r="E336" s="1036" t="s">
        <v>2017</v>
      </c>
      <c r="F336" s="1036">
        <v>1</v>
      </c>
      <c r="G336" s="1036">
        <v>220</v>
      </c>
      <c r="H336" s="744">
        <v>216</v>
      </c>
      <c r="I336" s="591"/>
      <c r="J336" s="591"/>
    </row>
    <row r="337" spans="2:10">
      <c r="B337" s="590">
        <v>332</v>
      </c>
      <c r="C337" s="1050" t="s">
        <v>2137</v>
      </c>
      <c r="D337" s="1050" t="s">
        <v>964</v>
      </c>
      <c r="E337" s="1036" t="s">
        <v>2017</v>
      </c>
      <c r="F337" s="1036">
        <v>1</v>
      </c>
      <c r="G337" s="1036">
        <v>220</v>
      </c>
      <c r="H337" s="744">
        <v>292</v>
      </c>
      <c r="I337" s="591"/>
      <c r="J337" s="591"/>
    </row>
    <row r="338" spans="2:10">
      <c r="B338" s="590">
        <v>333</v>
      </c>
      <c r="C338" s="1050" t="s">
        <v>2138</v>
      </c>
      <c r="D338" s="1050" t="s">
        <v>964</v>
      </c>
      <c r="E338" s="1036" t="s">
        <v>2017</v>
      </c>
      <c r="F338" s="1036">
        <v>2</v>
      </c>
      <c r="G338" s="1036">
        <v>220</v>
      </c>
      <c r="H338" s="744">
        <v>104.2</v>
      </c>
      <c r="I338" s="591"/>
      <c r="J338" s="591"/>
    </row>
    <row r="339" spans="2:10">
      <c r="B339" s="1859" t="s">
        <v>1787</v>
      </c>
      <c r="C339" s="1859"/>
      <c r="D339" s="1859"/>
      <c r="E339" s="1859"/>
      <c r="F339" s="1859"/>
      <c r="G339" s="1859"/>
      <c r="H339" s="743">
        <f>SUM(H6:H338)</f>
        <v>15334.021000000008</v>
      </c>
      <c r="I339" s="591"/>
      <c r="J339" s="591"/>
    </row>
    <row r="340" spans="2:10">
      <c r="B340" s="702"/>
      <c r="C340" s="421"/>
      <c r="D340" s="419"/>
      <c r="E340" s="419"/>
      <c r="F340" s="419"/>
      <c r="G340" s="419"/>
      <c r="H340" s="419"/>
      <c r="I340" s="419"/>
      <c r="J340" s="399"/>
    </row>
    <row r="341" spans="2:10">
      <c r="B341" s="1862" t="s">
        <v>1171</v>
      </c>
      <c r="C341" s="1862"/>
      <c r="D341" s="1862"/>
      <c r="E341" s="1862"/>
      <c r="F341" s="1862"/>
      <c r="G341" s="1862"/>
      <c r="H341" s="1862"/>
      <c r="I341" s="1863"/>
      <c r="J341" s="709"/>
    </row>
    <row r="342" spans="2:10" ht="94.5" customHeight="1">
      <c r="B342" s="1864" t="s">
        <v>150</v>
      </c>
      <c r="C342" s="1866" t="s">
        <v>1582</v>
      </c>
      <c r="D342" s="1869" t="s">
        <v>1583</v>
      </c>
      <c r="E342" s="1824" t="s">
        <v>1788</v>
      </c>
      <c r="F342" s="1825"/>
      <c r="G342" s="1825"/>
      <c r="H342" s="1826"/>
      <c r="I342" s="1824" t="s">
        <v>968</v>
      </c>
      <c r="J342" s="1826"/>
    </row>
    <row r="343" spans="2:10">
      <c r="B343" s="1865"/>
      <c r="C343" s="1867"/>
      <c r="D343" s="1870"/>
      <c r="E343" s="1824">
        <v>220</v>
      </c>
      <c r="F343" s="1826"/>
      <c r="G343" s="1824">
        <v>132</v>
      </c>
      <c r="H343" s="1826"/>
      <c r="I343" s="727" t="s">
        <v>363</v>
      </c>
      <c r="J343" s="403" t="s">
        <v>1584</v>
      </c>
    </row>
    <row r="344" spans="2:10" s="147" customFormat="1">
      <c r="B344" s="1834"/>
      <c r="C344" s="1868"/>
      <c r="D344" s="1871"/>
      <c r="E344" s="619" t="s">
        <v>1069</v>
      </c>
      <c r="F344" s="619" t="s">
        <v>1789</v>
      </c>
      <c r="G344" s="727" t="s">
        <v>1069</v>
      </c>
      <c r="H344" s="727" t="s">
        <v>1789</v>
      </c>
      <c r="I344" s="727" t="s">
        <v>1069</v>
      </c>
      <c r="J344" s="727" t="s">
        <v>1069</v>
      </c>
    </row>
    <row r="345" spans="2:10">
      <c r="B345" s="403">
        <v>1</v>
      </c>
      <c r="C345" s="1052" t="s">
        <v>1610</v>
      </c>
      <c r="D345" s="1051" t="s">
        <v>1790</v>
      </c>
      <c r="E345" s="745"/>
      <c r="F345" s="1052"/>
      <c r="G345" s="745">
        <v>4</v>
      </c>
      <c r="H345" s="746" t="s">
        <v>1593</v>
      </c>
      <c r="I345" s="740"/>
      <c r="J345" s="740">
        <v>9</v>
      </c>
    </row>
    <row r="346" spans="2:10">
      <c r="B346" s="403">
        <v>2</v>
      </c>
      <c r="C346" s="1052" t="s">
        <v>1655</v>
      </c>
      <c r="D346" s="1051" t="s">
        <v>1790</v>
      </c>
      <c r="E346" s="745"/>
      <c r="F346" s="1052"/>
      <c r="G346" s="745">
        <v>2</v>
      </c>
      <c r="H346" s="746" t="s">
        <v>1552</v>
      </c>
      <c r="I346" s="740"/>
      <c r="J346" s="740">
        <v>5</v>
      </c>
    </row>
    <row r="347" spans="2:10">
      <c r="B347" s="403">
        <v>3</v>
      </c>
      <c r="C347" s="1052" t="s">
        <v>1674</v>
      </c>
      <c r="D347" s="1051" t="s">
        <v>1790</v>
      </c>
      <c r="E347" s="745"/>
      <c r="F347" s="1052"/>
      <c r="G347" s="745">
        <v>2</v>
      </c>
      <c r="H347" s="746" t="s">
        <v>1602</v>
      </c>
      <c r="I347" s="740"/>
      <c r="J347" s="740">
        <v>5</v>
      </c>
    </row>
    <row r="348" spans="2:10">
      <c r="B348" s="403">
        <v>4</v>
      </c>
      <c r="C348" s="1052" t="s">
        <v>1624</v>
      </c>
      <c r="D348" s="1051" t="s">
        <v>1790</v>
      </c>
      <c r="E348" s="745"/>
      <c r="F348" s="1052"/>
      <c r="G348" s="745">
        <v>2</v>
      </c>
      <c r="H348" s="746" t="s">
        <v>1552</v>
      </c>
      <c r="I348" s="740"/>
      <c r="J348" s="740">
        <v>7</v>
      </c>
    </row>
    <row r="349" spans="2:10">
      <c r="B349" s="403">
        <v>5</v>
      </c>
      <c r="C349" s="1052" t="s">
        <v>1579</v>
      </c>
      <c r="D349" s="1051" t="s">
        <v>1790</v>
      </c>
      <c r="E349" s="745"/>
      <c r="F349" s="1052"/>
      <c r="G349" s="745">
        <v>3</v>
      </c>
      <c r="H349" s="746" t="s">
        <v>1613</v>
      </c>
      <c r="I349" s="740"/>
      <c r="J349" s="740">
        <v>9</v>
      </c>
    </row>
    <row r="350" spans="2:10">
      <c r="B350" s="403">
        <v>6</v>
      </c>
      <c r="C350" s="1052" t="s">
        <v>1653</v>
      </c>
      <c r="D350" s="1051" t="s">
        <v>1790</v>
      </c>
      <c r="E350" s="745"/>
      <c r="F350" s="1052"/>
      <c r="G350" s="745">
        <v>2</v>
      </c>
      <c r="H350" s="746" t="s">
        <v>2176</v>
      </c>
      <c r="I350" s="740"/>
      <c r="J350" s="740">
        <v>5</v>
      </c>
    </row>
    <row r="351" spans="2:10">
      <c r="B351" s="403">
        <v>7</v>
      </c>
      <c r="C351" s="1052" t="s">
        <v>1654</v>
      </c>
      <c r="D351" s="1051" t="s">
        <v>1790</v>
      </c>
      <c r="E351" s="745"/>
      <c r="F351" s="1052"/>
      <c r="G351" s="745">
        <v>2</v>
      </c>
      <c r="H351" s="746" t="s">
        <v>1602</v>
      </c>
      <c r="I351" s="740"/>
      <c r="J351" s="740">
        <v>5</v>
      </c>
    </row>
    <row r="352" spans="2:10">
      <c r="B352" s="403">
        <v>8</v>
      </c>
      <c r="C352" s="1052" t="s">
        <v>1643</v>
      </c>
      <c r="D352" s="1051" t="s">
        <v>1790</v>
      </c>
      <c r="E352" s="745"/>
      <c r="F352" s="1052"/>
      <c r="G352" s="745">
        <v>2</v>
      </c>
      <c r="H352" s="746" t="s">
        <v>1791</v>
      </c>
      <c r="I352" s="740"/>
      <c r="J352" s="740">
        <v>5</v>
      </c>
    </row>
    <row r="353" spans="2:10">
      <c r="B353" s="403">
        <v>9</v>
      </c>
      <c r="C353" s="1052" t="s">
        <v>1600</v>
      </c>
      <c r="D353" s="1051" t="s">
        <v>1790</v>
      </c>
      <c r="E353" s="745"/>
      <c r="F353" s="1052"/>
      <c r="G353" s="745">
        <v>2</v>
      </c>
      <c r="H353" s="746" t="s">
        <v>1602</v>
      </c>
      <c r="I353" s="740"/>
      <c r="J353" s="740">
        <v>8</v>
      </c>
    </row>
    <row r="354" spans="2:10">
      <c r="B354" s="403">
        <v>10</v>
      </c>
      <c r="C354" s="1052" t="s">
        <v>2139</v>
      </c>
      <c r="D354" s="1051" t="s">
        <v>1790</v>
      </c>
      <c r="E354" s="745"/>
      <c r="F354" s="1052"/>
      <c r="G354" s="745">
        <v>3</v>
      </c>
      <c r="H354" s="746" t="s">
        <v>1552</v>
      </c>
      <c r="I354" s="43"/>
      <c r="J354" s="740">
        <v>8</v>
      </c>
    </row>
    <row r="355" spans="2:10">
      <c r="B355" s="403">
        <v>11</v>
      </c>
      <c r="C355" s="1052" t="s">
        <v>2140</v>
      </c>
      <c r="D355" s="1051" t="s">
        <v>1790</v>
      </c>
      <c r="E355" s="745"/>
      <c r="F355" s="1052"/>
      <c r="G355" s="745">
        <v>3</v>
      </c>
      <c r="H355" s="746" t="s">
        <v>1589</v>
      </c>
      <c r="I355" s="740"/>
      <c r="J355" s="740">
        <v>8</v>
      </c>
    </row>
    <row r="356" spans="2:10">
      <c r="B356" s="403">
        <v>12</v>
      </c>
      <c r="C356" s="1052" t="s">
        <v>2141</v>
      </c>
      <c r="D356" s="1051" t="s">
        <v>1790</v>
      </c>
      <c r="E356" s="745"/>
      <c r="F356" s="1052"/>
      <c r="G356" s="745">
        <v>2</v>
      </c>
      <c r="H356" s="746" t="s">
        <v>1609</v>
      </c>
      <c r="I356" s="740"/>
      <c r="J356" s="740">
        <v>5</v>
      </c>
    </row>
    <row r="357" spans="2:10">
      <c r="B357" s="403">
        <v>13</v>
      </c>
      <c r="C357" s="1052" t="s">
        <v>1691</v>
      </c>
      <c r="D357" s="1051" t="s">
        <v>1790</v>
      </c>
      <c r="E357" s="745"/>
      <c r="F357" s="1052"/>
      <c r="G357" s="745">
        <v>2</v>
      </c>
      <c r="H357" s="746" t="s">
        <v>1552</v>
      </c>
      <c r="I357" s="740"/>
      <c r="J357" s="740">
        <v>5</v>
      </c>
    </row>
    <row r="358" spans="2:10">
      <c r="B358" s="403">
        <v>14</v>
      </c>
      <c r="C358" s="1052" t="s">
        <v>1632</v>
      </c>
      <c r="D358" s="1051" t="s">
        <v>1790</v>
      </c>
      <c r="E358" s="745"/>
      <c r="F358" s="1052"/>
      <c r="G358" s="745">
        <v>4</v>
      </c>
      <c r="H358" s="746" t="s">
        <v>1593</v>
      </c>
      <c r="I358" s="740"/>
      <c r="J358" s="740">
        <v>8</v>
      </c>
    </row>
    <row r="359" spans="2:10">
      <c r="B359" s="403">
        <v>15</v>
      </c>
      <c r="C359" s="1052" t="s">
        <v>1651</v>
      </c>
      <c r="D359" s="1051" t="s">
        <v>1790</v>
      </c>
      <c r="E359" s="745"/>
      <c r="F359" s="1052"/>
      <c r="G359" s="745">
        <v>2</v>
      </c>
      <c r="H359" s="746" t="s">
        <v>1552</v>
      </c>
      <c r="I359" s="740"/>
      <c r="J359" s="740">
        <v>5</v>
      </c>
    </row>
    <row r="360" spans="2:10">
      <c r="B360" s="403">
        <v>16</v>
      </c>
      <c r="C360" s="1052" t="s">
        <v>1130</v>
      </c>
      <c r="D360" s="1051" t="s">
        <v>1790</v>
      </c>
      <c r="E360" s="745">
        <v>4</v>
      </c>
      <c r="F360" s="1052" t="s">
        <v>1597</v>
      </c>
      <c r="G360" s="745">
        <v>3</v>
      </c>
      <c r="H360" s="746" t="s">
        <v>1599</v>
      </c>
      <c r="I360" s="740">
        <v>12</v>
      </c>
      <c r="J360" s="740">
        <v>18</v>
      </c>
    </row>
    <row r="361" spans="2:10">
      <c r="B361" s="403">
        <v>17</v>
      </c>
      <c r="C361" s="1052" t="s">
        <v>1622</v>
      </c>
      <c r="D361" s="1051" t="s">
        <v>1790</v>
      </c>
      <c r="E361" s="745"/>
      <c r="F361" s="1052"/>
      <c r="G361" s="745">
        <v>2</v>
      </c>
      <c r="H361" s="746" t="s">
        <v>2176</v>
      </c>
      <c r="I361" s="740"/>
      <c r="J361" s="740">
        <v>4</v>
      </c>
    </row>
    <row r="362" spans="2:10">
      <c r="B362" s="403">
        <v>18</v>
      </c>
      <c r="C362" s="1052" t="s">
        <v>1658</v>
      </c>
      <c r="D362" s="1051" t="s">
        <v>1790</v>
      </c>
      <c r="E362" s="745"/>
      <c r="F362" s="1052"/>
      <c r="G362" s="745">
        <v>2</v>
      </c>
      <c r="H362" s="746" t="s">
        <v>1792</v>
      </c>
      <c r="I362" s="740"/>
      <c r="J362" s="740">
        <v>5</v>
      </c>
    </row>
    <row r="363" spans="2:10">
      <c r="B363" s="403">
        <v>19</v>
      </c>
      <c r="C363" s="1052" t="s">
        <v>1668</v>
      </c>
      <c r="D363" s="1051" t="s">
        <v>1790</v>
      </c>
      <c r="E363" s="745"/>
      <c r="F363" s="1052"/>
      <c r="G363" s="745">
        <v>2</v>
      </c>
      <c r="H363" s="746" t="s">
        <v>1609</v>
      </c>
      <c r="I363" s="740"/>
      <c r="J363" s="740">
        <v>6</v>
      </c>
    </row>
    <row r="364" spans="2:10">
      <c r="B364" s="403">
        <v>20</v>
      </c>
      <c r="C364" s="1052" t="s">
        <v>1793</v>
      </c>
      <c r="D364" s="1051" t="s">
        <v>1790</v>
      </c>
      <c r="E364" s="745"/>
      <c r="F364" s="1052"/>
      <c r="G364" s="745">
        <v>2</v>
      </c>
      <c r="H364" s="746" t="s">
        <v>1602</v>
      </c>
      <c r="I364" s="740"/>
      <c r="J364" s="740">
        <v>4</v>
      </c>
    </row>
    <row r="365" spans="2:10">
      <c r="B365" s="403">
        <v>21</v>
      </c>
      <c r="C365" s="1052" t="s">
        <v>1139</v>
      </c>
      <c r="D365" s="1051" t="s">
        <v>1790</v>
      </c>
      <c r="E365" s="745"/>
      <c r="F365" s="1052"/>
      <c r="G365" s="745">
        <v>3</v>
      </c>
      <c r="H365" s="746" t="s">
        <v>1613</v>
      </c>
      <c r="I365" s="740"/>
      <c r="J365" s="740">
        <v>16</v>
      </c>
    </row>
    <row r="366" spans="2:10">
      <c r="B366" s="403">
        <v>22</v>
      </c>
      <c r="C366" s="1052" t="s">
        <v>2142</v>
      </c>
      <c r="D366" s="1051" t="s">
        <v>1790</v>
      </c>
      <c r="E366" s="745"/>
      <c r="F366" s="1052"/>
      <c r="G366" s="745">
        <v>2</v>
      </c>
      <c r="H366" s="746" t="s">
        <v>1552</v>
      </c>
      <c r="I366" s="740"/>
      <c r="J366" s="740">
        <v>5</v>
      </c>
    </row>
    <row r="367" spans="2:10">
      <c r="B367" s="403">
        <v>23</v>
      </c>
      <c r="C367" s="1052" t="s">
        <v>1794</v>
      </c>
      <c r="D367" s="1051" t="s">
        <v>1790</v>
      </c>
      <c r="E367" s="745">
        <v>3</v>
      </c>
      <c r="F367" s="1052" t="s">
        <v>1627</v>
      </c>
      <c r="G367" s="745">
        <v>1</v>
      </c>
      <c r="H367" s="746" t="s">
        <v>1628</v>
      </c>
      <c r="I367" s="740">
        <v>16</v>
      </c>
      <c r="J367" s="740">
        <v>18</v>
      </c>
    </row>
    <row r="368" spans="2:10">
      <c r="B368" s="403">
        <v>24</v>
      </c>
      <c r="C368" s="1052" t="s">
        <v>2143</v>
      </c>
      <c r="D368" s="1051" t="s">
        <v>1790</v>
      </c>
      <c r="E368" s="745"/>
      <c r="F368" s="1052"/>
      <c r="G368" s="745">
        <v>4</v>
      </c>
      <c r="H368" s="746" t="s">
        <v>1593</v>
      </c>
      <c r="I368" s="745"/>
      <c r="J368" s="740">
        <v>9</v>
      </c>
    </row>
    <row r="369" spans="2:10">
      <c r="B369" s="403">
        <v>25</v>
      </c>
      <c r="C369" s="1052" t="s">
        <v>2144</v>
      </c>
      <c r="D369" s="1051" t="s">
        <v>1790</v>
      </c>
      <c r="E369" s="745">
        <v>2</v>
      </c>
      <c r="F369" s="1052" t="s">
        <v>1076</v>
      </c>
      <c r="G369" s="745">
        <v>2</v>
      </c>
      <c r="H369" s="746" t="s">
        <v>1552</v>
      </c>
      <c r="I369" s="43">
        <v>5</v>
      </c>
      <c r="J369" s="740">
        <v>8</v>
      </c>
    </row>
    <row r="370" spans="2:10">
      <c r="B370" s="403">
        <v>26</v>
      </c>
      <c r="C370" s="1052" t="s">
        <v>1604</v>
      </c>
      <c r="D370" s="1051" t="s">
        <v>1790</v>
      </c>
      <c r="E370" s="745"/>
      <c r="F370" s="1052"/>
      <c r="G370" s="745">
        <v>3</v>
      </c>
      <c r="H370" s="746" t="s">
        <v>1613</v>
      </c>
      <c r="I370" s="740"/>
      <c r="J370" s="740">
        <v>7</v>
      </c>
    </row>
    <row r="371" spans="2:10">
      <c r="B371" s="403">
        <v>27</v>
      </c>
      <c r="C371" s="1052" t="s">
        <v>1127</v>
      </c>
      <c r="D371" s="1051" t="s">
        <v>1790</v>
      </c>
      <c r="E371" s="745">
        <v>5</v>
      </c>
      <c r="F371" s="1052" t="s">
        <v>1795</v>
      </c>
      <c r="G371" s="745">
        <v>3</v>
      </c>
      <c r="H371" s="746" t="s">
        <v>1599</v>
      </c>
      <c r="I371" s="740">
        <v>12</v>
      </c>
      <c r="J371" s="740">
        <v>18</v>
      </c>
    </row>
    <row r="372" spans="2:10">
      <c r="B372" s="403">
        <v>28</v>
      </c>
      <c r="C372" s="1052" t="s">
        <v>1135</v>
      </c>
      <c r="D372" s="1051" t="s">
        <v>1790</v>
      </c>
      <c r="E372" s="745"/>
      <c r="F372" s="1052"/>
      <c r="G372" s="745">
        <v>3</v>
      </c>
      <c r="H372" s="746" t="s">
        <v>1613</v>
      </c>
      <c r="I372" s="740"/>
      <c r="J372" s="740">
        <v>6</v>
      </c>
    </row>
    <row r="373" spans="2:10">
      <c r="B373" s="403">
        <v>29</v>
      </c>
      <c r="C373" s="1052" t="s">
        <v>1689</v>
      </c>
      <c r="D373" s="1051" t="s">
        <v>1790</v>
      </c>
      <c r="E373" s="745"/>
      <c r="F373" s="1052"/>
      <c r="G373" s="745">
        <v>2</v>
      </c>
      <c r="H373" s="746" t="s">
        <v>2176</v>
      </c>
      <c r="I373" s="740"/>
      <c r="J373" s="740">
        <v>5</v>
      </c>
    </row>
    <row r="374" spans="2:10">
      <c r="B374" s="403">
        <v>30</v>
      </c>
      <c r="C374" s="1052" t="s">
        <v>1621</v>
      </c>
      <c r="D374" s="1051" t="s">
        <v>1790</v>
      </c>
      <c r="E374" s="745"/>
      <c r="F374" s="1052"/>
      <c r="G374" s="745">
        <v>3</v>
      </c>
      <c r="H374" s="746" t="s">
        <v>1599</v>
      </c>
      <c r="I374" s="740"/>
      <c r="J374" s="740">
        <v>15</v>
      </c>
    </row>
    <row r="375" spans="2:10">
      <c r="B375" s="403">
        <v>31</v>
      </c>
      <c r="C375" s="1052" t="s">
        <v>1676</v>
      </c>
      <c r="D375" s="1051" t="s">
        <v>1790</v>
      </c>
      <c r="E375" s="745"/>
      <c r="F375" s="1052"/>
      <c r="G375" s="745">
        <v>3</v>
      </c>
      <c r="H375" s="746" t="s">
        <v>1605</v>
      </c>
      <c r="I375" s="740"/>
      <c r="J375" s="740">
        <v>10</v>
      </c>
    </row>
    <row r="376" spans="2:10">
      <c r="B376" s="403">
        <v>32</v>
      </c>
      <c r="C376" s="1052" t="s">
        <v>1796</v>
      </c>
      <c r="D376" s="1051" t="s">
        <v>1790</v>
      </c>
      <c r="E376" s="745"/>
      <c r="F376" s="1052"/>
      <c r="G376" s="745">
        <v>3</v>
      </c>
      <c r="H376" s="746" t="s">
        <v>1589</v>
      </c>
      <c r="I376" s="740"/>
      <c r="J376" s="740">
        <v>9</v>
      </c>
    </row>
    <row r="377" spans="2:10">
      <c r="B377" s="403">
        <v>33</v>
      </c>
      <c r="C377" s="1052" t="s">
        <v>2145</v>
      </c>
      <c r="D377" s="1051" t="s">
        <v>1790</v>
      </c>
      <c r="E377" s="745"/>
      <c r="F377" s="1052"/>
      <c r="G377" s="745">
        <v>2</v>
      </c>
      <c r="H377" s="745" t="s">
        <v>1552</v>
      </c>
      <c r="I377" s="740"/>
      <c r="J377" s="740">
        <v>9</v>
      </c>
    </row>
    <row r="378" spans="2:10">
      <c r="B378" s="403">
        <v>34</v>
      </c>
      <c r="C378" s="1052" t="s">
        <v>2146</v>
      </c>
      <c r="D378" s="1051" t="s">
        <v>2172</v>
      </c>
      <c r="E378" s="745">
        <v>2</v>
      </c>
      <c r="F378" s="1052" t="s">
        <v>2173</v>
      </c>
      <c r="G378" s="745"/>
      <c r="H378" s="746"/>
      <c r="I378" s="740">
        <v>8</v>
      </c>
      <c r="J378" s="740">
        <v>2</v>
      </c>
    </row>
    <row r="379" spans="2:10">
      <c r="B379" s="403">
        <v>35</v>
      </c>
      <c r="C379" s="1052" t="s">
        <v>1576</v>
      </c>
      <c r="D379" s="1051" t="s">
        <v>1790</v>
      </c>
      <c r="E379" s="745">
        <v>4</v>
      </c>
      <c r="F379" s="1052" t="s">
        <v>1597</v>
      </c>
      <c r="G379" s="745">
        <v>3</v>
      </c>
      <c r="H379" s="746" t="s">
        <v>1599</v>
      </c>
      <c r="I379" s="740">
        <v>10</v>
      </c>
      <c r="J379" s="740">
        <v>17</v>
      </c>
    </row>
    <row r="380" spans="2:10">
      <c r="B380" s="403">
        <v>36</v>
      </c>
      <c r="C380" s="1052" t="s">
        <v>1672</v>
      </c>
      <c r="D380" s="1051" t="s">
        <v>1790</v>
      </c>
      <c r="E380" s="745"/>
      <c r="F380" s="1052"/>
      <c r="G380" s="745">
        <v>3</v>
      </c>
      <c r="H380" s="746" t="s">
        <v>1606</v>
      </c>
      <c r="I380" s="740"/>
      <c r="J380" s="740">
        <v>9</v>
      </c>
    </row>
    <row r="381" spans="2:10">
      <c r="B381" s="403">
        <v>37</v>
      </c>
      <c r="C381" s="1052" t="s">
        <v>1649</v>
      </c>
      <c r="D381" s="1051" t="s">
        <v>1790</v>
      </c>
      <c r="E381" s="745"/>
      <c r="F381" s="1052"/>
      <c r="G381" s="745">
        <v>2</v>
      </c>
      <c r="H381" s="746" t="s">
        <v>1552</v>
      </c>
      <c r="I381" s="740"/>
      <c r="J381" s="740">
        <v>5</v>
      </c>
    </row>
    <row r="382" spans="2:10">
      <c r="B382" s="403">
        <v>38</v>
      </c>
      <c r="C382" s="1052" t="s">
        <v>1595</v>
      </c>
      <c r="D382" s="1051" t="s">
        <v>1790</v>
      </c>
      <c r="E382" s="745"/>
      <c r="F382" s="1052"/>
      <c r="G382" s="745">
        <v>3</v>
      </c>
      <c r="H382" s="746" t="s">
        <v>1588</v>
      </c>
      <c r="I382" s="740"/>
      <c r="J382" s="740">
        <v>6</v>
      </c>
    </row>
    <row r="383" spans="2:10">
      <c r="B383" s="403">
        <v>39</v>
      </c>
      <c r="C383" s="1052" t="s">
        <v>1612</v>
      </c>
      <c r="D383" s="1051" t="s">
        <v>1790</v>
      </c>
      <c r="E383" s="745"/>
      <c r="F383" s="1052"/>
      <c r="G383" s="745">
        <v>2</v>
      </c>
      <c r="H383" s="746" t="s">
        <v>1552</v>
      </c>
      <c r="I383" s="740"/>
      <c r="J383" s="740">
        <v>9</v>
      </c>
    </row>
    <row r="384" spans="2:10">
      <c r="B384" s="403">
        <v>40</v>
      </c>
      <c r="C384" s="1052" t="s">
        <v>1630</v>
      </c>
      <c r="D384" s="1051" t="s">
        <v>1790</v>
      </c>
      <c r="E384" s="745"/>
      <c r="F384" s="1052"/>
      <c r="G384" s="745">
        <v>4</v>
      </c>
      <c r="H384" s="746" t="s">
        <v>1797</v>
      </c>
      <c r="I384" s="740"/>
      <c r="J384" s="740">
        <v>6</v>
      </c>
    </row>
    <row r="385" spans="2:10">
      <c r="B385" s="403">
        <v>41</v>
      </c>
      <c r="C385" s="1052" t="s">
        <v>1134</v>
      </c>
      <c r="D385" s="1051" t="s">
        <v>1790</v>
      </c>
      <c r="E385" s="745"/>
      <c r="F385" s="1052"/>
      <c r="G385" s="745">
        <v>2</v>
      </c>
      <c r="H385" s="746" t="s">
        <v>1798</v>
      </c>
      <c r="I385" s="740"/>
      <c r="J385" s="740">
        <v>3</v>
      </c>
    </row>
    <row r="386" spans="2:10">
      <c r="B386" s="403">
        <v>42</v>
      </c>
      <c r="C386" s="1052" t="s">
        <v>1591</v>
      </c>
      <c r="D386" s="1051" t="s">
        <v>1790</v>
      </c>
      <c r="E386" s="745">
        <v>5</v>
      </c>
      <c r="F386" s="1052" t="s">
        <v>1799</v>
      </c>
      <c r="G386" s="745">
        <v>3</v>
      </c>
      <c r="H386" s="746" t="s">
        <v>1599</v>
      </c>
      <c r="I386" s="740">
        <v>9</v>
      </c>
      <c r="J386" s="740">
        <v>13</v>
      </c>
    </row>
    <row r="387" spans="2:10">
      <c r="B387" s="403">
        <v>43</v>
      </c>
      <c r="C387" s="1052" t="s">
        <v>2147</v>
      </c>
      <c r="D387" s="1051" t="s">
        <v>1790</v>
      </c>
      <c r="E387" s="745"/>
      <c r="F387" s="1052"/>
      <c r="G387" s="745">
        <v>3</v>
      </c>
      <c r="H387" s="746" t="s">
        <v>1589</v>
      </c>
      <c r="I387" s="740"/>
      <c r="J387" s="740">
        <v>12</v>
      </c>
    </row>
    <row r="388" spans="2:10">
      <c r="B388" s="403">
        <v>44</v>
      </c>
      <c r="C388" s="1052" t="s">
        <v>1590</v>
      </c>
      <c r="D388" s="1051" t="s">
        <v>1790</v>
      </c>
      <c r="E388" s="745"/>
      <c r="F388" s="1052"/>
      <c r="G388" s="745">
        <v>3</v>
      </c>
      <c r="H388" s="746" t="s">
        <v>1588</v>
      </c>
      <c r="I388" s="740"/>
      <c r="J388" s="740">
        <v>5</v>
      </c>
    </row>
    <row r="389" spans="2:10">
      <c r="B389" s="403">
        <v>45</v>
      </c>
      <c r="C389" s="1052" t="s">
        <v>2148</v>
      </c>
      <c r="D389" s="1051" t="s">
        <v>1790</v>
      </c>
      <c r="E389" s="745"/>
      <c r="F389" s="1052"/>
      <c r="G389" s="745">
        <v>3</v>
      </c>
      <c r="H389" s="746" t="s">
        <v>1599</v>
      </c>
      <c r="I389" s="740"/>
      <c r="J389" s="740">
        <v>8</v>
      </c>
    </row>
    <row r="390" spans="2:10">
      <c r="B390" s="403">
        <v>46</v>
      </c>
      <c r="C390" s="1052" t="s">
        <v>1688</v>
      </c>
      <c r="D390" s="1051" t="s">
        <v>1790</v>
      </c>
      <c r="E390" s="745">
        <v>3</v>
      </c>
      <c r="F390" s="1052" t="s">
        <v>1800</v>
      </c>
      <c r="G390" s="745">
        <v>3</v>
      </c>
      <c r="H390" s="746" t="s">
        <v>1801</v>
      </c>
      <c r="I390" s="740">
        <v>12</v>
      </c>
      <c r="J390" s="740">
        <v>13</v>
      </c>
    </row>
    <row r="391" spans="2:10">
      <c r="B391" s="403">
        <v>47</v>
      </c>
      <c r="C391" s="1052" t="s">
        <v>1607</v>
      </c>
      <c r="D391" s="1051" t="s">
        <v>1790</v>
      </c>
      <c r="E391" s="745"/>
      <c r="F391" s="1052"/>
      <c r="G391" s="745">
        <v>3</v>
      </c>
      <c r="H391" s="746" t="s">
        <v>1601</v>
      </c>
      <c r="I391" s="740"/>
      <c r="J391" s="740">
        <v>7</v>
      </c>
    </row>
    <row r="392" spans="2:10">
      <c r="B392" s="403">
        <v>48</v>
      </c>
      <c r="C392" s="1052" t="s">
        <v>1128</v>
      </c>
      <c r="D392" s="1051" t="s">
        <v>1790</v>
      </c>
      <c r="E392" s="745">
        <v>3</v>
      </c>
      <c r="F392" s="1052" t="s">
        <v>1664</v>
      </c>
      <c r="G392" s="745">
        <v>2</v>
      </c>
      <c r="H392" s="746" t="s">
        <v>1599</v>
      </c>
      <c r="I392" s="740">
        <v>6</v>
      </c>
      <c r="J392" s="740">
        <v>11</v>
      </c>
    </row>
    <row r="393" spans="2:10">
      <c r="B393" s="403">
        <v>49</v>
      </c>
      <c r="C393" s="1052" t="s">
        <v>1631</v>
      </c>
      <c r="D393" s="1051" t="s">
        <v>1790</v>
      </c>
      <c r="E393" s="745"/>
      <c r="F393" s="1052"/>
      <c r="G393" s="745">
        <v>2</v>
      </c>
      <c r="H393" s="746" t="s">
        <v>1625</v>
      </c>
      <c r="I393" s="740"/>
      <c r="J393" s="740">
        <v>5</v>
      </c>
    </row>
    <row r="394" spans="2:10">
      <c r="B394" s="403">
        <v>50</v>
      </c>
      <c r="C394" s="1052" t="s">
        <v>1592</v>
      </c>
      <c r="D394" s="1051" t="s">
        <v>1790</v>
      </c>
      <c r="E394" s="745"/>
      <c r="F394" s="1052"/>
      <c r="G394" s="745">
        <v>3</v>
      </c>
      <c r="H394" s="745" t="s">
        <v>1601</v>
      </c>
      <c r="I394" s="745"/>
      <c r="J394" s="740">
        <v>9</v>
      </c>
    </row>
    <row r="395" spans="2:10">
      <c r="B395" s="403">
        <v>51</v>
      </c>
      <c r="C395" s="1052" t="s">
        <v>1802</v>
      </c>
      <c r="D395" s="1051" t="s">
        <v>1790</v>
      </c>
      <c r="E395" s="745"/>
      <c r="F395" s="1052"/>
      <c r="G395" s="745">
        <v>3</v>
      </c>
      <c r="H395" s="746" t="s">
        <v>1606</v>
      </c>
      <c r="I395" s="740"/>
      <c r="J395" s="740">
        <v>5</v>
      </c>
    </row>
    <row r="396" spans="2:10">
      <c r="B396" s="403">
        <v>52</v>
      </c>
      <c r="C396" s="1052" t="s">
        <v>2149</v>
      </c>
      <c r="D396" s="1051" t="s">
        <v>1790</v>
      </c>
      <c r="E396" s="745"/>
      <c r="F396" s="1052"/>
      <c r="G396" s="745">
        <v>3</v>
      </c>
      <c r="H396" s="746" t="s">
        <v>1599</v>
      </c>
      <c r="I396" s="740"/>
      <c r="J396" s="740">
        <v>8</v>
      </c>
    </row>
    <row r="397" spans="2:10">
      <c r="B397" s="403">
        <v>53</v>
      </c>
      <c r="C397" s="1052" t="s">
        <v>2150</v>
      </c>
      <c r="D397" s="1051" t="s">
        <v>2172</v>
      </c>
      <c r="E397" s="745">
        <v>3</v>
      </c>
      <c r="F397" s="1052" t="s">
        <v>1664</v>
      </c>
      <c r="G397" s="745"/>
      <c r="H397" s="746"/>
      <c r="I397" s="740">
        <v>9</v>
      </c>
      <c r="J397" s="740">
        <v>8</v>
      </c>
    </row>
    <row r="398" spans="2:10">
      <c r="B398" s="403">
        <v>54</v>
      </c>
      <c r="C398" s="1052" t="s">
        <v>1626</v>
      </c>
      <c r="D398" s="1051" t="s">
        <v>1790</v>
      </c>
      <c r="E398" s="745"/>
      <c r="F398" s="1052"/>
      <c r="G398" s="745">
        <v>3</v>
      </c>
      <c r="H398" s="746" t="s">
        <v>1601</v>
      </c>
      <c r="I398" s="740"/>
      <c r="J398" s="740">
        <v>6</v>
      </c>
    </row>
    <row r="399" spans="2:10">
      <c r="B399" s="403">
        <v>55</v>
      </c>
      <c r="C399" s="1052" t="s">
        <v>1620</v>
      </c>
      <c r="D399" s="1051" t="s">
        <v>1790</v>
      </c>
      <c r="E399" s="745"/>
      <c r="F399" s="1052"/>
      <c r="G399" s="745">
        <v>2</v>
      </c>
      <c r="H399" s="746" t="s">
        <v>2176</v>
      </c>
      <c r="I399" s="740"/>
      <c r="J399" s="740">
        <v>5</v>
      </c>
    </row>
    <row r="400" spans="2:10">
      <c r="B400" s="403">
        <v>56</v>
      </c>
      <c r="C400" s="1052" t="s">
        <v>1611</v>
      </c>
      <c r="D400" s="1051" t="s">
        <v>1790</v>
      </c>
      <c r="E400" s="745"/>
      <c r="F400" s="1052"/>
      <c r="G400" s="745">
        <v>2</v>
      </c>
      <c r="H400" s="746" t="s">
        <v>1552</v>
      </c>
      <c r="I400" s="740"/>
      <c r="J400" s="740">
        <v>7</v>
      </c>
    </row>
    <row r="401" spans="2:10">
      <c r="B401" s="403">
        <v>57</v>
      </c>
      <c r="C401" s="1052" t="s">
        <v>1803</v>
      </c>
      <c r="D401" s="1051" t="s">
        <v>1790</v>
      </c>
      <c r="E401" s="745"/>
      <c r="F401" s="1052"/>
      <c r="G401" s="745">
        <v>2</v>
      </c>
      <c r="H401" s="746" t="s">
        <v>1552</v>
      </c>
      <c r="I401" s="740"/>
      <c r="J401" s="740">
        <v>5</v>
      </c>
    </row>
    <row r="402" spans="2:10">
      <c r="B402" s="403">
        <v>58</v>
      </c>
      <c r="C402" s="1052" t="s">
        <v>1804</v>
      </c>
      <c r="D402" s="1051" t="s">
        <v>1790</v>
      </c>
      <c r="E402" s="745"/>
      <c r="F402" s="1052"/>
      <c r="G402" s="745">
        <v>3</v>
      </c>
      <c r="H402" s="746" t="s">
        <v>1601</v>
      </c>
      <c r="I402" s="740"/>
      <c r="J402" s="740">
        <v>8</v>
      </c>
    </row>
    <row r="403" spans="2:10">
      <c r="B403" s="403">
        <v>59</v>
      </c>
      <c r="C403" s="1052" t="s">
        <v>1594</v>
      </c>
      <c r="D403" s="1051" t="s">
        <v>1790</v>
      </c>
      <c r="E403" s="745"/>
      <c r="F403" s="1052"/>
      <c r="G403" s="745">
        <v>5</v>
      </c>
      <c r="H403" s="746" t="s">
        <v>1805</v>
      </c>
      <c r="I403" s="740"/>
      <c r="J403" s="740">
        <v>9</v>
      </c>
    </row>
    <row r="404" spans="2:10">
      <c r="B404" s="403">
        <v>60</v>
      </c>
      <c r="C404" s="1052" t="s">
        <v>1636</v>
      </c>
      <c r="D404" s="1051" t="s">
        <v>1790</v>
      </c>
      <c r="E404" s="745"/>
      <c r="F404" s="1052"/>
      <c r="G404" s="745">
        <v>2</v>
      </c>
      <c r="H404" s="746" t="s">
        <v>1552</v>
      </c>
      <c r="I404" s="740"/>
      <c r="J404" s="740">
        <v>7</v>
      </c>
    </row>
    <row r="405" spans="2:10">
      <c r="B405" s="403">
        <v>61</v>
      </c>
      <c r="C405" s="1052" t="s">
        <v>1642</v>
      </c>
      <c r="D405" s="1051" t="s">
        <v>1790</v>
      </c>
      <c r="E405" s="745"/>
      <c r="F405" s="1052"/>
      <c r="G405" s="745">
        <v>3</v>
      </c>
      <c r="H405" s="746" t="s">
        <v>1613</v>
      </c>
      <c r="I405" s="740"/>
      <c r="J405" s="740">
        <v>13</v>
      </c>
    </row>
    <row r="406" spans="2:10">
      <c r="B406" s="403">
        <v>62</v>
      </c>
      <c r="C406" s="1052" t="s">
        <v>2151</v>
      </c>
      <c r="D406" s="1051" t="s">
        <v>1790</v>
      </c>
      <c r="E406" s="745"/>
      <c r="F406" s="1052"/>
      <c r="G406" s="745">
        <v>2</v>
      </c>
      <c r="H406" s="746" t="s">
        <v>1552</v>
      </c>
      <c r="I406" s="740"/>
      <c r="J406" s="740">
        <v>7</v>
      </c>
    </row>
    <row r="407" spans="2:10">
      <c r="B407" s="403">
        <v>63</v>
      </c>
      <c r="C407" s="1052" t="s">
        <v>1662</v>
      </c>
      <c r="D407" s="1051" t="s">
        <v>1790</v>
      </c>
      <c r="E407" s="745"/>
      <c r="F407" s="1052"/>
      <c r="G407" s="745">
        <v>3</v>
      </c>
      <c r="H407" s="746" t="s">
        <v>1613</v>
      </c>
      <c r="I407" s="740"/>
      <c r="J407" s="740">
        <v>7</v>
      </c>
    </row>
    <row r="408" spans="2:10">
      <c r="B408" s="403">
        <v>64</v>
      </c>
      <c r="C408" s="1052" t="s">
        <v>1136</v>
      </c>
      <c r="D408" s="1051" t="s">
        <v>1790</v>
      </c>
      <c r="E408" s="745"/>
      <c r="F408" s="1052"/>
      <c r="G408" s="745">
        <v>3</v>
      </c>
      <c r="H408" s="746" t="s">
        <v>1613</v>
      </c>
      <c r="I408" s="740"/>
      <c r="J408" s="740">
        <v>5</v>
      </c>
    </row>
    <row r="409" spans="2:10">
      <c r="B409" s="403">
        <v>65</v>
      </c>
      <c r="C409" s="1052" t="s">
        <v>1670</v>
      </c>
      <c r="D409" s="1051" t="s">
        <v>1790</v>
      </c>
      <c r="E409" s="745"/>
      <c r="F409" s="1052"/>
      <c r="G409" s="745">
        <v>2</v>
      </c>
      <c r="H409" s="746" t="s">
        <v>2177</v>
      </c>
      <c r="I409" s="740"/>
      <c r="J409" s="740">
        <v>5</v>
      </c>
    </row>
    <row r="410" spans="2:10">
      <c r="B410" s="403">
        <v>66</v>
      </c>
      <c r="C410" s="1052" t="s">
        <v>1638</v>
      </c>
      <c r="D410" s="1051" t="s">
        <v>1790</v>
      </c>
      <c r="E410" s="745"/>
      <c r="F410" s="1052"/>
      <c r="G410" s="745">
        <v>4</v>
      </c>
      <c r="H410" s="746" t="s">
        <v>1806</v>
      </c>
      <c r="I410" s="740"/>
      <c r="J410" s="740">
        <v>10</v>
      </c>
    </row>
    <row r="411" spans="2:10">
      <c r="B411" s="403">
        <v>67</v>
      </c>
      <c r="C411" s="1052" t="s">
        <v>2152</v>
      </c>
      <c r="D411" s="1051" t="s">
        <v>1790</v>
      </c>
      <c r="E411" s="745"/>
      <c r="F411" s="1052"/>
      <c r="G411" s="745">
        <v>3</v>
      </c>
      <c r="H411" s="746" t="s">
        <v>1605</v>
      </c>
      <c r="I411" s="740"/>
      <c r="J411" s="740"/>
    </row>
    <row r="412" spans="2:10">
      <c r="B412" s="403">
        <v>68</v>
      </c>
      <c r="C412" s="1052" t="s">
        <v>1807</v>
      </c>
      <c r="D412" s="1051" t="s">
        <v>1790</v>
      </c>
      <c r="E412" s="745"/>
      <c r="F412" s="1052"/>
      <c r="G412" s="745">
        <v>4</v>
      </c>
      <c r="H412" s="746" t="s">
        <v>1593</v>
      </c>
      <c r="I412" s="740"/>
      <c r="J412" s="740">
        <v>7</v>
      </c>
    </row>
    <row r="413" spans="2:10">
      <c r="B413" s="403">
        <v>69</v>
      </c>
      <c r="C413" s="1052" t="s">
        <v>2153</v>
      </c>
      <c r="D413" s="1051" t="s">
        <v>1790</v>
      </c>
      <c r="E413" s="745"/>
      <c r="F413" s="1052"/>
      <c r="G413" s="745">
        <v>3</v>
      </c>
      <c r="H413" s="746" t="s">
        <v>1808</v>
      </c>
      <c r="I413" s="740"/>
      <c r="J413" s="740">
        <v>12</v>
      </c>
    </row>
    <row r="414" spans="2:10">
      <c r="B414" s="403">
        <v>70</v>
      </c>
      <c r="C414" s="1052" t="s">
        <v>1652</v>
      </c>
      <c r="D414" s="1051" t="s">
        <v>1790</v>
      </c>
      <c r="E414" s="745"/>
      <c r="F414" s="1052"/>
      <c r="G414" s="745">
        <v>4</v>
      </c>
      <c r="H414" s="746" t="s">
        <v>1808</v>
      </c>
      <c r="I414" s="740"/>
      <c r="J414" s="740">
        <v>6</v>
      </c>
    </row>
    <row r="415" spans="2:10">
      <c r="B415" s="403">
        <v>71</v>
      </c>
      <c r="C415" s="1052" t="s">
        <v>1587</v>
      </c>
      <c r="D415" s="1051" t="s">
        <v>1790</v>
      </c>
      <c r="E415" s="745"/>
      <c r="F415" s="1052"/>
      <c r="G415" s="745">
        <v>4</v>
      </c>
      <c r="H415" s="746" t="s">
        <v>1598</v>
      </c>
      <c r="I415" s="740"/>
      <c r="J415" s="740">
        <v>6</v>
      </c>
    </row>
    <row r="416" spans="2:10">
      <c r="B416" s="403">
        <v>72</v>
      </c>
      <c r="C416" s="1052" t="s">
        <v>1809</v>
      </c>
      <c r="D416" s="1051" t="s">
        <v>1790</v>
      </c>
      <c r="E416" s="745"/>
      <c r="F416" s="1052"/>
      <c r="G416" s="745">
        <v>2</v>
      </c>
      <c r="H416" s="746" t="s">
        <v>1552</v>
      </c>
      <c r="I416" s="740"/>
      <c r="J416" s="740"/>
    </row>
    <row r="417" spans="2:10">
      <c r="B417" s="403">
        <v>73</v>
      </c>
      <c r="C417" s="1052" t="s">
        <v>1646</v>
      </c>
      <c r="D417" s="1051" t="s">
        <v>1790</v>
      </c>
      <c r="E417" s="745"/>
      <c r="F417" s="1052"/>
      <c r="G417" s="745">
        <v>3</v>
      </c>
      <c r="H417" s="746" t="s">
        <v>1605</v>
      </c>
      <c r="I417" s="740"/>
      <c r="J417" s="740">
        <v>6</v>
      </c>
    </row>
    <row r="418" spans="2:10">
      <c r="B418" s="403">
        <v>74</v>
      </c>
      <c r="C418" s="1052" t="s">
        <v>1810</v>
      </c>
      <c r="D418" s="1051" t="s">
        <v>1790</v>
      </c>
      <c r="E418" s="745">
        <v>1</v>
      </c>
      <c r="F418" s="1052" t="s">
        <v>1596</v>
      </c>
      <c r="G418" s="745">
        <v>2</v>
      </c>
      <c r="H418" s="746" t="s">
        <v>1552</v>
      </c>
      <c r="I418" s="740">
        <v>8</v>
      </c>
      <c r="J418" s="740">
        <v>9</v>
      </c>
    </row>
    <row r="419" spans="2:10">
      <c r="B419" s="403">
        <v>75</v>
      </c>
      <c r="C419" s="1052" t="s">
        <v>1126</v>
      </c>
      <c r="D419" s="1051" t="s">
        <v>1790</v>
      </c>
      <c r="E419" s="745">
        <v>3</v>
      </c>
      <c r="F419" s="1052" t="s">
        <v>2174</v>
      </c>
      <c r="G419" s="745">
        <v>5</v>
      </c>
      <c r="H419" s="746" t="s">
        <v>1805</v>
      </c>
      <c r="I419" s="740">
        <v>9</v>
      </c>
      <c r="J419" s="740">
        <v>15</v>
      </c>
    </row>
    <row r="420" spans="2:10">
      <c r="B420" s="403">
        <v>76</v>
      </c>
      <c r="C420" s="1052" t="s">
        <v>2154</v>
      </c>
      <c r="D420" s="1051" t="s">
        <v>1790</v>
      </c>
      <c r="E420" s="745"/>
      <c r="F420" s="1052"/>
      <c r="G420" s="745">
        <v>2</v>
      </c>
      <c r="H420" s="746" t="s">
        <v>1552</v>
      </c>
      <c r="I420" s="740"/>
      <c r="J420" s="740">
        <v>9</v>
      </c>
    </row>
    <row r="421" spans="2:10">
      <c r="B421" s="403">
        <v>77</v>
      </c>
      <c r="C421" s="1052" t="s">
        <v>2155</v>
      </c>
      <c r="D421" s="1051" t="s">
        <v>1790</v>
      </c>
      <c r="E421" s="745">
        <v>3</v>
      </c>
      <c r="F421" s="1052" t="s">
        <v>2175</v>
      </c>
      <c r="G421" s="745">
        <v>2</v>
      </c>
      <c r="H421" s="746" t="s">
        <v>1552</v>
      </c>
      <c r="I421" s="740">
        <v>9</v>
      </c>
      <c r="J421" s="740">
        <v>10</v>
      </c>
    </row>
    <row r="422" spans="2:10">
      <c r="B422" s="403">
        <v>78</v>
      </c>
      <c r="C422" s="1052" t="s">
        <v>1137</v>
      </c>
      <c r="D422" s="1051" t="s">
        <v>1790</v>
      </c>
      <c r="E422" s="745"/>
      <c r="F422" s="1052"/>
      <c r="G422" s="745">
        <v>2</v>
      </c>
      <c r="H422" s="746" t="s">
        <v>1609</v>
      </c>
      <c r="I422" s="740"/>
      <c r="J422" s="740">
        <v>7</v>
      </c>
    </row>
    <row r="423" spans="2:10">
      <c r="B423" s="403">
        <v>79</v>
      </c>
      <c r="C423" s="1052" t="s">
        <v>1615</v>
      </c>
      <c r="D423" s="1051" t="s">
        <v>1790</v>
      </c>
      <c r="E423" s="745"/>
      <c r="F423" s="1052"/>
      <c r="G423" s="745">
        <v>3</v>
      </c>
      <c r="H423" s="746" t="s">
        <v>1601</v>
      </c>
      <c r="I423" s="740"/>
      <c r="J423" s="740">
        <v>6</v>
      </c>
    </row>
    <row r="424" spans="2:10">
      <c r="B424" s="403">
        <v>80</v>
      </c>
      <c r="C424" s="1052" t="s">
        <v>2156</v>
      </c>
      <c r="D424" s="1051" t="s">
        <v>1790</v>
      </c>
      <c r="E424" s="745"/>
      <c r="F424" s="1052"/>
      <c r="G424" s="745">
        <v>2</v>
      </c>
      <c r="H424" s="746" t="s">
        <v>1602</v>
      </c>
      <c r="I424" s="740"/>
      <c r="J424" s="740">
        <v>12</v>
      </c>
    </row>
    <row r="425" spans="2:10">
      <c r="B425" s="403">
        <v>81</v>
      </c>
      <c r="C425" s="1052" t="s">
        <v>1647</v>
      </c>
      <c r="D425" s="1051" t="s">
        <v>1790</v>
      </c>
      <c r="E425" s="745"/>
      <c r="F425" s="1052"/>
      <c r="G425" s="745">
        <v>3</v>
      </c>
      <c r="H425" s="746" t="s">
        <v>1599</v>
      </c>
      <c r="I425" s="740"/>
      <c r="J425" s="740">
        <v>13</v>
      </c>
    </row>
    <row r="426" spans="2:10">
      <c r="B426" s="403">
        <v>82</v>
      </c>
      <c r="C426" s="1052" t="s">
        <v>2157</v>
      </c>
      <c r="D426" s="1051" t="s">
        <v>1790</v>
      </c>
      <c r="E426" s="745">
        <v>2</v>
      </c>
      <c r="F426" s="1052" t="s">
        <v>1076</v>
      </c>
      <c r="G426" s="745">
        <v>2</v>
      </c>
      <c r="H426" s="746" t="s">
        <v>1552</v>
      </c>
      <c r="I426" s="740">
        <v>7</v>
      </c>
      <c r="J426" s="740">
        <v>7</v>
      </c>
    </row>
    <row r="427" spans="2:10">
      <c r="B427" s="403">
        <v>83</v>
      </c>
      <c r="C427" s="1052" t="s">
        <v>1131</v>
      </c>
      <c r="D427" s="1051" t="s">
        <v>1790</v>
      </c>
      <c r="E427" s="745">
        <v>4</v>
      </c>
      <c r="F427" s="1052" t="s">
        <v>1597</v>
      </c>
      <c r="G427" s="745">
        <v>3</v>
      </c>
      <c r="H427" s="746" t="s">
        <v>1589</v>
      </c>
      <c r="I427" s="740">
        <v>11</v>
      </c>
      <c r="J427" s="740">
        <v>15</v>
      </c>
    </row>
    <row r="428" spans="2:10">
      <c r="B428" s="403">
        <v>84</v>
      </c>
      <c r="C428" s="1052" t="s">
        <v>1669</v>
      </c>
      <c r="D428" s="1051" t="s">
        <v>1790</v>
      </c>
      <c r="E428" s="745"/>
      <c r="F428" s="1052"/>
      <c r="G428" s="745">
        <v>3</v>
      </c>
      <c r="H428" s="746" t="s">
        <v>1589</v>
      </c>
      <c r="I428" s="740"/>
      <c r="J428" s="740">
        <v>10</v>
      </c>
    </row>
    <row r="429" spans="2:10">
      <c r="B429" s="403">
        <v>85</v>
      </c>
      <c r="C429" s="1052" t="s">
        <v>1679</v>
      </c>
      <c r="D429" s="1051" t="s">
        <v>1790</v>
      </c>
      <c r="E429" s="745"/>
      <c r="F429" s="1052"/>
      <c r="G429" s="745">
        <v>2</v>
      </c>
      <c r="H429" s="746" t="s">
        <v>1602</v>
      </c>
      <c r="I429" s="740"/>
      <c r="J429" s="740">
        <v>5</v>
      </c>
    </row>
    <row r="430" spans="2:10">
      <c r="B430" s="403">
        <v>86</v>
      </c>
      <c r="C430" s="1052" t="s">
        <v>1663</v>
      </c>
      <c r="D430" s="1051" t="s">
        <v>1790</v>
      </c>
      <c r="E430" s="745"/>
      <c r="F430" s="1052"/>
      <c r="G430" s="745">
        <v>2</v>
      </c>
      <c r="H430" s="746" t="s">
        <v>1602</v>
      </c>
      <c r="I430" s="740"/>
      <c r="J430" s="740">
        <v>5</v>
      </c>
    </row>
    <row r="431" spans="2:10">
      <c r="B431" s="403">
        <v>87</v>
      </c>
      <c r="C431" s="1052" t="s">
        <v>1650</v>
      </c>
      <c r="D431" s="1051" t="s">
        <v>1790</v>
      </c>
      <c r="E431" s="745"/>
      <c r="F431" s="1052"/>
      <c r="G431" s="745">
        <v>2</v>
      </c>
      <c r="H431" s="746" t="s">
        <v>1602</v>
      </c>
      <c r="I431" s="740"/>
      <c r="J431" s="740">
        <v>5</v>
      </c>
    </row>
    <row r="432" spans="2:10">
      <c r="B432" s="403">
        <v>88</v>
      </c>
      <c r="C432" s="1052" t="s">
        <v>1644</v>
      </c>
      <c r="D432" s="1051" t="s">
        <v>1790</v>
      </c>
      <c r="E432" s="745"/>
      <c r="F432" s="1052"/>
      <c r="G432" s="745">
        <v>2</v>
      </c>
      <c r="H432" s="746" t="s">
        <v>1791</v>
      </c>
      <c r="I432" s="740"/>
      <c r="J432" s="740">
        <v>5</v>
      </c>
    </row>
    <row r="433" spans="2:10">
      <c r="B433" s="403">
        <v>89</v>
      </c>
      <c r="C433" s="1052" t="s">
        <v>1692</v>
      </c>
      <c r="D433" s="1051" t="s">
        <v>1790</v>
      </c>
      <c r="E433" s="745"/>
      <c r="F433" s="1052"/>
      <c r="G433" s="745">
        <v>3</v>
      </c>
      <c r="H433" s="746" t="s">
        <v>1605</v>
      </c>
      <c r="I433" s="740"/>
      <c r="J433" s="740">
        <v>6</v>
      </c>
    </row>
    <row r="434" spans="2:10">
      <c r="B434" s="403">
        <v>90</v>
      </c>
      <c r="C434" s="1052" t="s">
        <v>1585</v>
      </c>
      <c r="D434" s="1051" t="s">
        <v>1790</v>
      </c>
      <c r="E434" s="745"/>
      <c r="F434" s="1052"/>
      <c r="G434" s="745">
        <v>2</v>
      </c>
      <c r="H434" s="746" t="s">
        <v>1586</v>
      </c>
      <c r="I434" s="740"/>
      <c r="J434" s="740">
        <v>4</v>
      </c>
    </row>
    <row r="435" spans="2:10">
      <c r="B435" s="403">
        <v>91</v>
      </c>
      <c r="C435" s="1052" t="s">
        <v>1578</v>
      </c>
      <c r="D435" s="1051" t="s">
        <v>1790</v>
      </c>
      <c r="E435" s="745"/>
      <c r="F435" s="1052"/>
      <c r="G435" s="745">
        <v>2</v>
      </c>
      <c r="H435" s="746" t="s">
        <v>1552</v>
      </c>
      <c r="I435" s="740"/>
      <c r="J435" s="740">
        <v>6</v>
      </c>
    </row>
    <row r="436" spans="2:10">
      <c r="B436" s="403">
        <v>92</v>
      </c>
      <c r="C436" s="1052" t="s">
        <v>1671</v>
      </c>
      <c r="D436" s="1051" t="s">
        <v>1790</v>
      </c>
      <c r="E436" s="745"/>
      <c r="F436" s="1052"/>
      <c r="G436" s="745">
        <v>3</v>
      </c>
      <c r="H436" s="746" t="s">
        <v>1599</v>
      </c>
      <c r="I436" s="740"/>
      <c r="J436" s="740">
        <v>12</v>
      </c>
    </row>
    <row r="437" spans="2:10">
      <c r="B437" s="403">
        <v>93</v>
      </c>
      <c r="C437" s="1052" t="s">
        <v>1132</v>
      </c>
      <c r="D437" s="1051" t="s">
        <v>1790</v>
      </c>
      <c r="E437" s="745">
        <v>2</v>
      </c>
      <c r="F437" s="1052" t="s">
        <v>1076</v>
      </c>
      <c r="G437" s="745">
        <v>3</v>
      </c>
      <c r="H437" s="746" t="s">
        <v>1599</v>
      </c>
      <c r="I437" s="740">
        <v>9</v>
      </c>
      <c r="J437" s="740">
        <v>12</v>
      </c>
    </row>
    <row r="438" spans="2:10">
      <c r="B438" s="403">
        <v>94</v>
      </c>
      <c r="C438" s="1052" t="s">
        <v>2158</v>
      </c>
      <c r="D438" s="1051" t="s">
        <v>1790</v>
      </c>
      <c r="E438" s="745">
        <v>2</v>
      </c>
      <c r="F438" s="1052" t="s">
        <v>1076</v>
      </c>
      <c r="G438" s="745">
        <v>3</v>
      </c>
      <c r="H438" s="746" t="s">
        <v>1599</v>
      </c>
      <c r="I438" s="740">
        <v>10</v>
      </c>
      <c r="J438" s="740">
        <v>10</v>
      </c>
    </row>
    <row r="439" spans="2:10">
      <c r="B439" s="403">
        <v>95</v>
      </c>
      <c r="C439" s="1052" t="s">
        <v>2159</v>
      </c>
      <c r="D439" s="1051" t="s">
        <v>1790</v>
      </c>
      <c r="E439" s="745"/>
      <c r="F439" s="1052"/>
      <c r="G439" s="745">
        <v>2</v>
      </c>
      <c r="H439" s="746" t="s">
        <v>2176</v>
      </c>
      <c r="I439" s="740"/>
      <c r="J439" s="740">
        <v>8</v>
      </c>
    </row>
    <row r="440" spans="2:10">
      <c r="B440" s="403">
        <v>96</v>
      </c>
      <c r="C440" s="1052" t="s">
        <v>1577</v>
      </c>
      <c r="D440" s="1051" t="s">
        <v>1790</v>
      </c>
      <c r="E440" s="745"/>
      <c r="F440" s="1052"/>
      <c r="G440" s="745">
        <v>3</v>
      </c>
      <c r="H440" s="746" t="s">
        <v>1599</v>
      </c>
      <c r="I440" s="740"/>
      <c r="J440" s="740">
        <v>9</v>
      </c>
    </row>
    <row r="441" spans="2:10">
      <c r="B441" s="403">
        <v>97</v>
      </c>
      <c r="C441" s="1052" t="s">
        <v>1629</v>
      </c>
      <c r="D441" s="1051" t="s">
        <v>1790</v>
      </c>
      <c r="E441" s="745"/>
      <c r="F441" s="1052"/>
      <c r="G441" s="745">
        <v>3</v>
      </c>
      <c r="H441" s="746" t="s">
        <v>1811</v>
      </c>
      <c r="I441" s="740"/>
      <c r="J441" s="740">
        <v>9</v>
      </c>
    </row>
    <row r="442" spans="2:10">
      <c r="B442" s="403">
        <v>98</v>
      </c>
      <c r="C442" s="1052" t="s">
        <v>1675</v>
      </c>
      <c r="D442" s="1051" t="s">
        <v>1790</v>
      </c>
      <c r="E442" s="745"/>
      <c r="F442" s="1052"/>
      <c r="G442" s="745">
        <v>2</v>
      </c>
      <c r="H442" s="746" t="s">
        <v>1602</v>
      </c>
      <c r="I442" s="740"/>
      <c r="J442" s="740">
        <v>5</v>
      </c>
    </row>
    <row r="443" spans="2:10">
      <c r="B443" s="403">
        <v>99</v>
      </c>
      <c r="C443" s="1052" t="s">
        <v>1637</v>
      </c>
      <c r="D443" s="1051" t="s">
        <v>1790</v>
      </c>
      <c r="E443" s="745"/>
      <c r="F443" s="1052"/>
      <c r="G443" s="745">
        <v>4</v>
      </c>
      <c r="H443" s="746" t="s">
        <v>1808</v>
      </c>
      <c r="I443" s="740"/>
      <c r="J443" s="740">
        <v>6</v>
      </c>
    </row>
    <row r="444" spans="2:10">
      <c r="B444" s="403">
        <v>100</v>
      </c>
      <c r="C444" s="1052" t="s">
        <v>1140</v>
      </c>
      <c r="D444" s="1051" t="s">
        <v>1790</v>
      </c>
      <c r="E444" s="745"/>
      <c r="F444" s="1052"/>
      <c r="G444" s="745">
        <v>4</v>
      </c>
      <c r="H444" s="746" t="s">
        <v>1633</v>
      </c>
      <c r="I444" s="740"/>
      <c r="J444" s="740">
        <v>10</v>
      </c>
    </row>
    <row r="445" spans="2:10">
      <c r="B445" s="403">
        <v>101</v>
      </c>
      <c r="C445" s="1052" t="s">
        <v>1681</v>
      </c>
      <c r="D445" s="1051" t="s">
        <v>1790</v>
      </c>
      <c r="E445" s="745"/>
      <c r="F445" s="1052"/>
      <c r="G445" s="745">
        <v>2</v>
      </c>
      <c r="H445" s="746" t="s">
        <v>1602</v>
      </c>
      <c r="I445" s="740"/>
      <c r="J445" s="740">
        <v>5</v>
      </c>
    </row>
    <row r="446" spans="2:10">
      <c r="B446" s="403">
        <v>102</v>
      </c>
      <c r="C446" s="1052" t="s">
        <v>1673</v>
      </c>
      <c r="D446" s="1051" t="s">
        <v>1790</v>
      </c>
      <c r="E446" s="745"/>
      <c r="F446" s="1052"/>
      <c r="G446" s="745">
        <v>2</v>
      </c>
      <c r="H446" s="746" t="s">
        <v>1602</v>
      </c>
      <c r="I446" s="740"/>
      <c r="J446" s="740">
        <v>5</v>
      </c>
    </row>
    <row r="447" spans="2:10">
      <c r="B447" s="403">
        <v>103</v>
      </c>
      <c r="C447" s="1052" t="s">
        <v>1667</v>
      </c>
      <c r="D447" s="1051" t="s">
        <v>1790</v>
      </c>
      <c r="E447" s="745"/>
      <c r="F447" s="1052"/>
      <c r="G447" s="745">
        <v>2</v>
      </c>
      <c r="H447" s="746" t="s">
        <v>1552</v>
      </c>
      <c r="I447" s="740"/>
      <c r="J447" s="740">
        <v>9</v>
      </c>
    </row>
    <row r="448" spans="2:10">
      <c r="B448" s="403">
        <v>104</v>
      </c>
      <c r="C448" s="1052" t="s">
        <v>2160</v>
      </c>
      <c r="D448" s="1051" t="s">
        <v>1790</v>
      </c>
      <c r="E448" s="745"/>
      <c r="F448" s="1052"/>
      <c r="G448" s="745">
        <v>2</v>
      </c>
      <c r="H448" s="746" t="s">
        <v>1602</v>
      </c>
      <c r="I448" s="740"/>
      <c r="J448" s="740">
        <v>8</v>
      </c>
    </row>
    <row r="449" spans="2:10">
      <c r="B449" s="403">
        <v>105</v>
      </c>
      <c r="C449" s="1052" t="s">
        <v>1614</v>
      </c>
      <c r="D449" s="1051" t="s">
        <v>1790</v>
      </c>
      <c r="E449" s="745"/>
      <c r="F449" s="1052"/>
      <c r="G449" s="745">
        <v>2</v>
      </c>
      <c r="H449" s="746" t="s">
        <v>1602</v>
      </c>
      <c r="I449" s="740"/>
      <c r="J449" s="740">
        <v>5</v>
      </c>
    </row>
    <row r="450" spans="2:10">
      <c r="B450" s="403">
        <v>106</v>
      </c>
      <c r="C450" s="1052" t="s">
        <v>1659</v>
      </c>
      <c r="D450" s="1051" t="s">
        <v>1790</v>
      </c>
      <c r="E450" s="745"/>
      <c r="F450" s="1052"/>
      <c r="G450" s="745">
        <v>2</v>
      </c>
      <c r="H450" s="746" t="s">
        <v>1609</v>
      </c>
      <c r="I450" s="740"/>
      <c r="J450" s="740">
        <v>5</v>
      </c>
    </row>
    <row r="451" spans="2:10">
      <c r="B451" s="403">
        <v>107</v>
      </c>
      <c r="C451" s="1052" t="s">
        <v>1648</v>
      </c>
      <c r="D451" s="1051" t="s">
        <v>1790</v>
      </c>
      <c r="E451" s="745"/>
      <c r="F451" s="1052"/>
      <c r="G451" s="745">
        <v>3</v>
      </c>
      <c r="H451" s="746" t="s">
        <v>1599</v>
      </c>
      <c r="I451" s="740"/>
      <c r="J451" s="740">
        <v>12</v>
      </c>
    </row>
    <row r="452" spans="2:10">
      <c r="B452" s="403">
        <v>108</v>
      </c>
      <c r="C452" s="1052" t="s">
        <v>2161</v>
      </c>
      <c r="D452" s="1051" t="s">
        <v>1790</v>
      </c>
      <c r="E452" s="745">
        <v>2</v>
      </c>
      <c r="F452" s="1052" t="s">
        <v>1812</v>
      </c>
      <c r="G452" s="745">
        <v>2</v>
      </c>
      <c r="H452" s="746" t="s">
        <v>1552</v>
      </c>
      <c r="I452" s="740">
        <v>9</v>
      </c>
      <c r="J452" s="740">
        <v>10</v>
      </c>
    </row>
    <row r="453" spans="2:10">
      <c r="B453" s="403">
        <v>109</v>
      </c>
      <c r="C453" s="1052" t="s">
        <v>1608</v>
      </c>
      <c r="D453" s="1051" t="s">
        <v>1790</v>
      </c>
      <c r="E453" s="745"/>
      <c r="F453" s="1052"/>
      <c r="G453" s="745">
        <v>2</v>
      </c>
      <c r="H453" s="746" t="s">
        <v>1552</v>
      </c>
      <c r="I453" s="740"/>
      <c r="J453" s="740">
        <v>9</v>
      </c>
    </row>
    <row r="454" spans="2:10">
      <c r="B454" s="403">
        <v>110</v>
      </c>
      <c r="C454" s="1052" t="s">
        <v>1683</v>
      </c>
      <c r="D454" s="1051" t="s">
        <v>1790</v>
      </c>
      <c r="E454" s="745"/>
      <c r="F454" s="1052"/>
      <c r="G454" s="745">
        <v>3</v>
      </c>
      <c r="H454" s="746" t="s">
        <v>1599</v>
      </c>
      <c r="I454" s="740"/>
      <c r="J454" s="740">
        <v>6</v>
      </c>
    </row>
    <row r="455" spans="2:10">
      <c r="B455" s="403">
        <v>111</v>
      </c>
      <c r="C455" s="1052" t="s">
        <v>1634</v>
      </c>
      <c r="D455" s="1051" t="s">
        <v>1790</v>
      </c>
      <c r="E455" s="745"/>
      <c r="F455" s="1052"/>
      <c r="G455" s="745">
        <v>3</v>
      </c>
      <c r="H455" s="746" t="s">
        <v>1589</v>
      </c>
      <c r="I455" s="740"/>
      <c r="J455" s="740">
        <v>9</v>
      </c>
    </row>
    <row r="456" spans="2:10">
      <c r="B456" s="403">
        <v>112</v>
      </c>
      <c r="C456" s="1052" t="s">
        <v>1616</v>
      </c>
      <c r="D456" s="1051" t="s">
        <v>1790</v>
      </c>
      <c r="E456" s="745"/>
      <c r="F456" s="1052"/>
      <c r="G456" s="745">
        <v>3</v>
      </c>
      <c r="H456" s="746" t="s">
        <v>2178</v>
      </c>
      <c r="I456" s="740"/>
      <c r="J456" s="740">
        <v>8</v>
      </c>
    </row>
    <row r="457" spans="2:10">
      <c r="B457" s="403">
        <v>113</v>
      </c>
      <c r="C457" s="1052" t="s">
        <v>1138</v>
      </c>
      <c r="D457" s="1051" t="s">
        <v>1790</v>
      </c>
      <c r="E457" s="745"/>
      <c r="F457" s="1052"/>
      <c r="G457" s="745">
        <v>3</v>
      </c>
      <c r="H457" s="746" t="s">
        <v>1613</v>
      </c>
      <c r="I457" s="740"/>
      <c r="J457" s="740">
        <v>13</v>
      </c>
    </row>
    <row r="458" spans="2:10">
      <c r="B458" s="403">
        <v>114</v>
      </c>
      <c r="C458" s="1052" t="s">
        <v>1151</v>
      </c>
      <c r="D458" s="1051" t="s">
        <v>1790</v>
      </c>
      <c r="E458" s="745"/>
      <c r="F458" s="1052"/>
      <c r="G458" s="745">
        <v>3</v>
      </c>
      <c r="H458" s="746" t="s">
        <v>1552</v>
      </c>
      <c r="I458" s="740"/>
      <c r="J458" s="740">
        <v>8</v>
      </c>
    </row>
    <row r="459" spans="2:10">
      <c r="B459" s="403">
        <v>115</v>
      </c>
      <c r="C459" s="1052" t="s">
        <v>1666</v>
      </c>
      <c r="D459" s="1051" t="s">
        <v>1790</v>
      </c>
      <c r="E459" s="745"/>
      <c r="F459" s="1052"/>
      <c r="G459" s="745">
        <v>2</v>
      </c>
      <c r="H459" s="746" t="s">
        <v>1602</v>
      </c>
      <c r="I459" s="740"/>
      <c r="J459" s="740">
        <v>7</v>
      </c>
    </row>
    <row r="460" spans="2:10">
      <c r="B460" s="403">
        <v>116</v>
      </c>
      <c r="C460" s="1052" t="s">
        <v>2162</v>
      </c>
      <c r="D460" s="1051" t="s">
        <v>1790</v>
      </c>
      <c r="E460" s="745"/>
      <c r="F460" s="1052"/>
      <c r="G460" s="745">
        <v>2</v>
      </c>
      <c r="H460" s="746" t="s">
        <v>1609</v>
      </c>
      <c r="I460" s="740"/>
      <c r="J460" s="740">
        <v>5</v>
      </c>
    </row>
    <row r="461" spans="2:10">
      <c r="B461" s="403">
        <v>117</v>
      </c>
      <c r="C461" s="1052" t="s">
        <v>1640</v>
      </c>
      <c r="D461" s="1051" t="s">
        <v>1790</v>
      </c>
      <c r="E461" s="745"/>
      <c r="F461" s="1052"/>
      <c r="G461" s="745">
        <v>3</v>
      </c>
      <c r="H461" s="746" t="s">
        <v>1599</v>
      </c>
      <c r="I461" s="740"/>
      <c r="J461" s="740">
        <v>12</v>
      </c>
    </row>
    <row r="462" spans="2:10">
      <c r="B462" s="403">
        <v>118</v>
      </c>
      <c r="C462" s="1052" t="s">
        <v>1680</v>
      </c>
      <c r="D462" s="1051" t="s">
        <v>1790</v>
      </c>
      <c r="E462" s="745"/>
      <c r="F462" s="1052"/>
      <c r="G462" s="745">
        <v>3</v>
      </c>
      <c r="H462" s="746" t="s">
        <v>1552</v>
      </c>
      <c r="I462" s="740"/>
      <c r="J462" s="740">
        <v>8</v>
      </c>
    </row>
    <row r="463" spans="2:10">
      <c r="B463" s="403">
        <v>119</v>
      </c>
      <c r="C463" s="1052" t="s">
        <v>1129</v>
      </c>
      <c r="D463" s="1051" t="s">
        <v>1790</v>
      </c>
      <c r="E463" s="745"/>
      <c r="F463" s="1052"/>
      <c r="G463" s="745">
        <v>3</v>
      </c>
      <c r="H463" s="746" t="s">
        <v>1599</v>
      </c>
      <c r="I463" s="740"/>
      <c r="J463" s="740">
        <v>14</v>
      </c>
    </row>
    <row r="464" spans="2:10">
      <c r="B464" s="403">
        <v>120</v>
      </c>
      <c r="C464" s="1052" t="s">
        <v>2163</v>
      </c>
      <c r="D464" s="1051" t="s">
        <v>1790</v>
      </c>
      <c r="E464" s="745">
        <v>2</v>
      </c>
      <c r="F464" s="1052" t="s">
        <v>1076</v>
      </c>
      <c r="G464" s="745">
        <v>2</v>
      </c>
      <c r="H464" s="746" t="s">
        <v>1552</v>
      </c>
      <c r="I464" s="745">
        <v>9</v>
      </c>
      <c r="J464" s="740">
        <v>8</v>
      </c>
    </row>
    <row r="465" spans="2:10">
      <c r="B465" s="403">
        <v>121</v>
      </c>
      <c r="C465" s="1052" t="s">
        <v>1603</v>
      </c>
      <c r="D465" s="1051" t="s">
        <v>1790</v>
      </c>
      <c r="E465" s="745"/>
      <c r="F465" s="1052"/>
      <c r="G465" s="745">
        <v>3</v>
      </c>
      <c r="H465" s="746" t="s">
        <v>1606</v>
      </c>
      <c r="I465" s="740"/>
      <c r="J465" s="740">
        <v>8</v>
      </c>
    </row>
    <row r="466" spans="2:10">
      <c r="B466" s="403">
        <v>122</v>
      </c>
      <c r="C466" s="1052" t="s">
        <v>1665</v>
      </c>
      <c r="D466" s="1051" t="s">
        <v>1790</v>
      </c>
      <c r="E466" s="745"/>
      <c r="F466" s="1052"/>
      <c r="G466" s="745">
        <v>2</v>
      </c>
      <c r="H466" s="746" t="s">
        <v>1602</v>
      </c>
      <c r="I466" s="740"/>
      <c r="J466" s="740">
        <v>5</v>
      </c>
    </row>
    <row r="467" spans="2:10">
      <c r="B467" s="403">
        <v>123</v>
      </c>
      <c r="C467" s="1052" t="s">
        <v>1677</v>
      </c>
      <c r="D467" s="1051" t="s">
        <v>1790</v>
      </c>
      <c r="E467" s="745"/>
      <c r="F467" s="1052"/>
      <c r="G467" s="745">
        <v>3</v>
      </c>
      <c r="H467" s="746" t="s">
        <v>1606</v>
      </c>
      <c r="I467" s="740"/>
      <c r="J467" s="740">
        <v>7</v>
      </c>
    </row>
    <row r="468" spans="2:10">
      <c r="B468" s="403">
        <v>124</v>
      </c>
      <c r="C468" s="1052" t="s">
        <v>1635</v>
      </c>
      <c r="D468" s="1051" t="s">
        <v>1790</v>
      </c>
      <c r="E468" s="745"/>
      <c r="F468" s="1052"/>
      <c r="G468" s="745">
        <v>3</v>
      </c>
      <c r="H468" s="746" t="s">
        <v>1613</v>
      </c>
      <c r="I468" s="740"/>
      <c r="J468" s="740">
        <v>10</v>
      </c>
    </row>
    <row r="469" spans="2:10">
      <c r="B469" s="403">
        <v>125</v>
      </c>
      <c r="C469" s="1052" t="s">
        <v>1660</v>
      </c>
      <c r="D469" s="1051" t="s">
        <v>1790</v>
      </c>
      <c r="E469" s="745"/>
      <c r="F469" s="1052"/>
      <c r="G469" s="745">
        <v>2</v>
      </c>
      <c r="H469" s="746" t="s">
        <v>1552</v>
      </c>
      <c r="I469" s="740"/>
      <c r="J469" s="740">
        <v>7</v>
      </c>
    </row>
    <row r="470" spans="2:10">
      <c r="B470" s="403">
        <v>126</v>
      </c>
      <c r="C470" s="1052" t="s">
        <v>1618</v>
      </c>
      <c r="D470" s="1051" t="s">
        <v>1790</v>
      </c>
      <c r="E470" s="745"/>
      <c r="F470" s="1052"/>
      <c r="G470" s="745">
        <v>3</v>
      </c>
      <c r="H470" s="746" t="s">
        <v>1606</v>
      </c>
      <c r="I470" s="740"/>
      <c r="J470" s="740">
        <v>5</v>
      </c>
    </row>
    <row r="471" spans="2:10">
      <c r="B471" s="403">
        <v>127</v>
      </c>
      <c r="C471" s="1052" t="s">
        <v>2164</v>
      </c>
      <c r="D471" s="1051" t="s">
        <v>1790</v>
      </c>
      <c r="E471" s="745"/>
      <c r="F471" s="1052"/>
      <c r="G471" s="745">
        <v>2</v>
      </c>
      <c r="H471" s="746" t="s">
        <v>1602</v>
      </c>
      <c r="I471" s="740"/>
      <c r="J471" s="740">
        <v>5</v>
      </c>
    </row>
    <row r="472" spans="2:10">
      <c r="B472" s="403">
        <v>128</v>
      </c>
      <c r="C472" s="1052" t="s">
        <v>1657</v>
      </c>
      <c r="D472" s="1051" t="s">
        <v>1790</v>
      </c>
      <c r="E472" s="745"/>
      <c r="F472" s="1052"/>
      <c r="G472" s="745">
        <v>3</v>
      </c>
      <c r="H472" s="746" t="s">
        <v>1599</v>
      </c>
      <c r="I472" s="740"/>
      <c r="J472" s="740">
        <v>9</v>
      </c>
    </row>
    <row r="473" spans="2:10">
      <c r="B473" s="403">
        <v>129</v>
      </c>
      <c r="C473" s="1052" t="s">
        <v>1678</v>
      </c>
      <c r="D473" s="1051" t="s">
        <v>1790</v>
      </c>
      <c r="E473" s="745"/>
      <c r="F473" s="1052"/>
      <c r="G473" s="745">
        <v>3</v>
      </c>
      <c r="H473" s="746" t="s">
        <v>1599</v>
      </c>
      <c r="I473" s="740"/>
      <c r="J473" s="740">
        <v>10</v>
      </c>
    </row>
    <row r="474" spans="2:10">
      <c r="B474" s="403">
        <v>130</v>
      </c>
      <c r="C474" s="1052" t="s">
        <v>2165</v>
      </c>
      <c r="D474" s="1051" t="s">
        <v>1790</v>
      </c>
      <c r="E474" s="745"/>
      <c r="F474" s="1052"/>
      <c r="G474" s="745">
        <v>2</v>
      </c>
      <c r="H474" s="746" t="s">
        <v>1552</v>
      </c>
      <c r="I474" s="740"/>
      <c r="J474" s="740">
        <v>6</v>
      </c>
    </row>
    <row r="475" spans="2:10">
      <c r="B475" s="403">
        <v>131</v>
      </c>
      <c r="C475" s="1052" t="s">
        <v>1656</v>
      </c>
      <c r="D475" s="1051" t="s">
        <v>1790</v>
      </c>
      <c r="E475" s="745"/>
      <c r="F475" s="1052"/>
      <c r="G475" s="745">
        <v>2</v>
      </c>
      <c r="H475" s="746" t="s">
        <v>1552</v>
      </c>
      <c r="I475" s="740"/>
      <c r="J475" s="740">
        <v>9</v>
      </c>
    </row>
    <row r="476" spans="2:10">
      <c r="B476" s="403">
        <v>132</v>
      </c>
      <c r="C476" s="1052" t="s">
        <v>1813</v>
      </c>
      <c r="D476" s="1051" t="s">
        <v>1790</v>
      </c>
      <c r="E476" s="745"/>
      <c r="F476" s="1052"/>
      <c r="G476" s="745">
        <v>2</v>
      </c>
      <c r="H476" s="746" t="s">
        <v>1625</v>
      </c>
      <c r="I476" s="740"/>
      <c r="J476" s="740">
        <v>10</v>
      </c>
    </row>
    <row r="477" spans="2:10">
      <c r="B477" s="403">
        <v>133</v>
      </c>
      <c r="C477" s="1052" t="s">
        <v>2166</v>
      </c>
      <c r="D477" s="1051" t="s">
        <v>1790</v>
      </c>
      <c r="E477" s="745">
        <v>2</v>
      </c>
      <c r="F477" s="1052" t="s">
        <v>1076</v>
      </c>
      <c r="G477" s="745">
        <v>2</v>
      </c>
      <c r="H477" s="746" t="s">
        <v>1552</v>
      </c>
      <c r="I477" s="740">
        <v>6</v>
      </c>
      <c r="J477" s="740">
        <v>9</v>
      </c>
    </row>
    <row r="478" spans="2:10">
      <c r="B478" s="403">
        <v>134</v>
      </c>
      <c r="C478" s="1052" t="s">
        <v>2167</v>
      </c>
      <c r="D478" s="1051" t="s">
        <v>1790</v>
      </c>
      <c r="E478" s="745"/>
      <c r="F478" s="1052"/>
      <c r="G478" s="745">
        <v>2</v>
      </c>
      <c r="H478" s="746" t="s">
        <v>1552</v>
      </c>
      <c r="I478" s="745"/>
      <c r="J478" s="740">
        <v>18</v>
      </c>
    </row>
    <row r="479" spans="2:10">
      <c r="B479" s="403">
        <v>135</v>
      </c>
      <c r="C479" s="1052" t="s">
        <v>1641</v>
      </c>
      <c r="D479" s="1051" t="s">
        <v>1790</v>
      </c>
      <c r="E479" s="745"/>
      <c r="F479" s="1052"/>
      <c r="G479" s="745">
        <v>3</v>
      </c>
      <c r="H479" s="746" t="s">
        <v>1605</v>
      </c>
      <c r="I479" s="740"/>
      <c r="J479" s="740">
        <v>15</v>
      </c>
    </row>
    <row r="480" spans="2:10">
      <c r="B480" s="403">
        <v>136</v>
      </c>
      <c r="C480" s="1052" t="s">
        <v>2168</v>
      </c>
      <c r="D480" s="1051" t="s">
        <v>1790</v>
      </c>
      <c r="E480" s="745"/>
      <c r="F480" s="1052"/>
      <c r="G480" s="745">
        <v>3</v>
      </c>
      <c r="H480" s="746" t="s">
        <v>1606</v>
      </c>
      <c r="I480" s="740"/>
      <c r="J480" s="740">
        <v>10</v>
      </c>
    </row>
    <row r="481" spans="2:10">
      <c r="B481" s="403">
        <v>137</v>
      </c>
      <c r="C481" s="1052" t="s">
        <v>1639</v>
      </c>
      <c r="D481" s="1051" t="s">
        <v>1790</v>
      </c>
      <c r="E481" s="745"/>
      <c r="F481" s="1052"/>
      <c r="G481" s="745">
        <v>2</v>
      </c>
      <c r="H481" s="746" t="s">
        <v>1602</v>
      </c>
      <c r="I481" s="740"/>
      <c r="J481" s="740">
        <v>5</v>
      </c>
    </row>
    <row r="482" spans="2:10">
      <c r="B482" s="403">
        <v>138</v>
      </c>
      <c r="C482" s="1052" t="s">
        <v>1645</v>
      </c>
      <c r="D482" s="1051" t="s">
        <v>1790</v>
      </c>
      <c r="E482" s="745"/>
      <c r="F482" s="1052"/>
      <c r="G482" s="745">
        <v>2</v>
      </c>
      <c r="H482" s="746" t="s">
        <v>1602</v>
      </c>
      <c r="I482" s="740"/>
      <c r="J482" s="740">
        <v>5</v>
      </c>
    </row>
    <row r="483" spans="2:10">
      <c r="B483" s="403">
        <v>139</v>
      </c>
      <c r="C483" s="1052" t="s">
        <v>1623</v>
      </c>
      <c r="D483" s="1051" t="s">
        <v>1790</v>
      </c>
      <c r="E483" s="745"/>
      <c r="F483" s="1052"/>
      <c r="G483" s="745">
        <v>2</v>
      </c>
      <c r="H483" s="746" t="s">
        <v>1602</v>
      </c>
      <c r="I483" s="740"/>
      <c r="J483" s="740">
        <v>5</v>
      </c>
    </row>
    <row r="484" spans="2:10">
      <c r="B484" s="403">
        <v>140</v>
      </c>
      <c r="C484" s="1052" t="s">
        <v>1617</v>
      </c>
      <c r="D484" s="1051" t="s">
        <v>1790</v>
      </c>
      <c r="E484" s="745"/>
      <c r="F484" s="1052"/>
      <c r="G484" s="745">
        <v>3</v>
      </c>
      <c r="H484" s="746" t="s">
        <v>1589</v>
      </c>
      <c r="I484" s="740"/>
      <c r="J484" s="740">
        <v>7</v>
      </c>
    </row>
    <row r="485" spans="2:10">
      <c r="B485" s="403">
        <v>141</v>
      </c>
      <c r="C485" s="1052" t="s">
        <v>2169</v>
      </c>
      <c r="D485" s="1051" t="s">
        <v>1790</v>
      </c>
      <c r="E485" s="745"/>
      <c r="F485" s="1052"/>
      <c r="G485" s="745">
        <v>2</v>
      </c>
      <c r="H485" s="746" t="s">
        <v>1552</v>
      </c>
      <c r="I485" s="740"/>
      <c r="J485" s="740">
        <v>5</v>
      </c>
    </row>
    <row r="486" spans="2:10">
      <c r="B486" s="403">
        <v>142</v>
      </c>
      <c r="C486" s="1052" t="s">
        <v>1682</v>
      </c>
      <c r="D486" s="1051" t="s">
        <v>1790</v>
      </c>
      <c r="E486" s="745"/>
      <c r="F486" s="1052"/>
      <c r="G486" s="745">
        <v>2</v>
      </c>
      <c r="H486" s="746" t="s">
        <v>1602</v>
      </c>
      <c r="I486" s="740"/>
      <c r="J486" s="740"/>
    </row>
    <row r="487" spans="2:10">
      <c r="B487" s="403">
        <v>143</v>
      </c>
      <c r="C487" s="1052" t="s">
        <v>1693</v>
      </c>
      <c r="D487" s="1051" t="s">
        <v>1790</v>
      </c>
      <c r="E487" s="745"/>
      <c r="F487" s="1052"/>
      <c r="G487" s="745">
        <v>3</v>
      </c>
      <c r="H487" s="746" t="s">
        <v>1606</v>
      </c>
      <c r="I487" s="740"/>
      <c r="J487" s="740"/>
    </row>
    <row r="488" spans="2:10">
      <c r="B488" s="403">
        <v>144</v>
      </c>
      <c r="C488" s="1052" t="s">
        <v>1661</v>
      </c>
      <c r="D488" s="1051" t="s">
        <v>1790</v>
      </c>
      <c r="E488" s="745"/>
      <c r="F488" s="1052"/>
      <c r="G488" s="745">
        <v>3</v>
      </c>
      <c r="H488" s="746" t="s">
        <v>2179</v>
      </c>
      <c r="I488" s="740"/>
      <c r="J488" s="740"/>
    </row>
    <row r="489" spans="2:10">
      <c r="B489" s="403">
        <v>145</v>
      </c>
      <c r="C489" s="1052" t="s">
        <v>2170</v>
      </c>
      <c r="D489" s="1051" t="s">
        <v>1790</v>
      </c>
      <c r="E489" s="745"/>
      <c r="F489" s="1052"/>
      <c r="G489" s="745">
        <v>3</v>
      </c>
      <c r="H489" s="746" t="s">
        <v>1601</v>
      </c>
      <c r="I489" s="740"/>
      <c r="J489" s="740">
        <v>2</v>
      </c>
    </row>
    <row r="490" spans="2:10">
      <c r="B490" s="403">
        <v>146</v>
      </c>
      <c r="C490" s="1052" t="s">
        <v>2171</v>
      </c>
      <c r="D490" s="1051" t="s">
        <v>1790</v>
      </c>
      <c r="E490" s="745"/>
      <c r="F490" s="1052"/>
      <c r="G490" s="745">
        <v>3</v>
      </c>
      <c r="H490" s="746" t="s">
        <v>1613</v>
      </c>
      <c r="I490" s="740"/>
      <c r="J490" s="740"/>
    </row>
    <row r="491" spans="2:10">
      <c r="B491" s="1845" t="s">
        <v>68</v>
      </c>
      <c r="C491" s="1845"/>
      <c r="D491" s="1845"/>
      <c r="E491" s="398">
        <f>SUM(E345:E490)</f>
        <v>57</v>
      </c>
      <c r="F491" s="398"/>
      <c r="G491" s="398">
        <f>SUM(G345:G490)</f>
        <v>376</v>
      </c>
      <c r="H491" s="398"/>
      <c r="I491" s="398">
        <f>SUM(I345:I490)</f>
        <v>186</v>
      </c>
      <c r="J491" s="398">
        <f>SUM(J345:J490)</f>
        <v>1129</v>
      </c>
    </row>
    <row r="492" spans="2:10">
      <c r="B492" s="702"/>
      <c r="C492" s="702"/>
      <c r="D492" s="702"/>
      <c r="E492" s="401"/>
      <c r="F492" s="401"/>
      <c r="G492" s="401"/>
      <c r="H492" s="401"/>
      <c r="I492" s="401"/>
      <c r="J492" s="401"/>
    </row>
    <row r="493" spans="2:10" ht="16.5">
      <c r="G493" s="1763" t="s">
        <v>401</v>
      </c>
      <c r="H493" s="1763"/>
      <c r="I493" s="1763"/>
    </row>
  </sheetData>
  <mergeCells count="14">
    <mergeCell ref="B339:G339"/>
    <mergeCell ref="B2:F2"/>
    <mergeCell ref="B3:H3"/>
    <mergeCell ref="B4:H4"/>
    <mergeCell ref="G493:I493"/>
    <mergeCell ref="B341:I341"/>
    <mergeCell ref="B342:B344"/>
    <mergeCell ref="C342:C344"/>
    <mergeCell ref="D342:D344"/>
    <mergeCell ref="I342:J342"/>
    <mergeCell ref="E342:H342"/>
    <mergeCell ref="E343:F343"/>
    <mergeCell ref="G343:H343"/>
    <mergeCell ref="B491:D491"/>
  </mergeCells>
  <conditionalFormatting sqref="C6:C105">
    <cfRule type="duplicateValues" dxfId="10" priority="2"/>
  </conditionalFormatting>
  <conditionalFormatting sqref="C106:C290">
    <cfRule type="duplicateValues" dxfId="9" priority="1"/>
  </conditionalFormatting>
  <pageMargins left="0.2" right="0.2" top="0.74803149606299202" bottom="0.74803149606299202" header="0.31496062992126" footer="0.31496062992126"/>
  <pageSetup paperSize="9" scale="57" fitToHeight="0" orientation="portrait" r:id="rId1"/>
  <rowBreaks count="1" manualBreakCount="1">
    <brk id="340"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0"/>
  <sheetViews>
    <sheetView showGridLines="0" view="pageBreakPreview" topLeftCell="A24" zoomScale="70" zoomScaleNormal="100" zoomScaleSheetLayoutView="70" workbookViewId="0">
      <selection activeCell="A46" sqref="A46"/>
    </sheetView>
  </sheetViews>
  <sheetFormatPr defaultColWidth="9.140625" defaultRowHeight="15"/>
  <cols>
    <col min="1" max="1" width="12" style="156" customWidth="1"/>
    <col min="2" max="3" width="13.140625" style="156" customWidth="1"/>
    <col min="4" max="4" width="16.7109375" style="156" customWidth="1"/>
    <col min="5" max="5" width="16.28515625" style="156" bestFit="1" customWidth="1"/>
    <col min="6" max="6" width="18.5703125" style="156" customWidth="1"/>
    <col min="7" max="7" width="15.7109375" style="156" customWidth="1"/>
    <col min="8" max="8" width="14.7109375" style="156" customWidth="1"/>
    <col min="9" max="9" width="17.140625" style="156" customWidth="1"/>
    <col min="10" max="10" width="14.42578125" style="156" customWidth="1"/>
    <col min="11" max="11" width="16.140625" style="156" bestFit="1" customWidth="1"/>
    <col min="12" max="12" width="13.85546875" style="156" customWidth="1"/>
    <col min="13" max="13" width="16" style="156" customWidth="1"/>
    <col min="14" max="14" width="14.42578125" style="156" customWidth="1"/>
    <col min="15" max="15" width="15.42578125" style="156" customWidth="1"/>
    <col min="16" max="16" width="14" style="156" customWidth="1"/>
    <col min="17" max="16384" width="9.140625" style="156"/>
  </cols>
  <sheetData>
    <row r="1" spans="1:18">
      <c r="A1" s="1878" t="s">
        <v>857</v>
      </c>
      <c r="B1" s="1878"/>
      <c r="C1" s="1878"/>
      <c r="D1" s="1878"/>
      <c r="E1" s="1878"/>
      <c r="F1" s="1878"/>
      <c r="G1" s="1878"/>
      <c r="H1" s="1878"/>
      <c r="I1" s="1878"/>
      <c r="J1" s="1878"/>
      <c r="K1" s="1878"/>
      <c r="L1" s="1878"/>
      <c r="M1" s="1878"/>
      <c r="N1" s="1878"/>
      <c r="O1" s="1878"/>
      <c r="P1" s="1878"/>
      <c r="R1" s="156" t="s">
        <v>73</v>
      </c>
    </row>
    <row r="2" spans="1:18" ht="17.25" thickBot="1">
      <c r="A2" s="1879" t="s">
        <v>876</v>
      </c>
      <c r="B2" s="1879"/>
      <c r="C2" s="1879"/>
      <c r="D2" s="1879"/>
      <c r="E2" s="1879"/>
      <c r="F2" s="1879"/>
      <c r="G2" s="1879"/>
      <c r="H2" s="1879"/>
      <c r="I2" s="1879"/>
      <c r="J2" s="1879"/>
      <c r="O2" s="1880" t="s">
        <v>572</v>
      </c>
      <c r="P2" s="1880"/>
    </row>
    <row r="3" spans="1:18" ht="15" customHeight="1">
      <c r="A3" s="1888" t="s">
        <v>565</v>
      </c>
      <c r="B3" s="1888" t="s">
        <v>866</v>
      </c>
      <c r="C3" s="1881" t="s">
        <v>574</v>
      </c>
      <c r="D3" s="1882"/>
      <c r="E3" s="1881" t="s">
        <v>573</v>
      </c>
      <c r="F3" s="1882"/>
      <c r="G3" s="1881" t="s">
        <v>566</v>
      </c>
      <c r="H3" s="1902"/>
      <c r="I3" s="1902"/>
      <c r="J3" s="1882"/>
      <c r="K3" s="1881" t="s">
        <v>567</v>
      </c>
      <c r="L3" s="1882"/>
      <c r="M3" s="1881" t="s">
        <v>575</v>
      </c>
      <c r="N3" s="1882"/>
      <c r="O3" s="1881" t="s">
        <v>576</v>
      </c>
      <c r="P3" s="1882"/>
      <c r="Q3" s="1901"/>
    </row>
    <row r="4" spans="1:18">
      <c r="A4" s="1889"/>
      <c r="B4" s="1889"/>
      <c r="C4" s="1883"/>
      <c r="D4" s="1884"/>
      <c r="E4" s="1883"/>
      <c r="F4" s="1884"/>
      <c r="G4" s="1883"/>
      <c r="H4" s="1904"/>
      <c r="I4" s="1904"/>
      <c r="J4" s="1884"/>
      <c r="K4" s="1883"/>
      <c r="L4" s="1884"/>
      <c r="M4" s="1883"/>
      <c r="N4" s="1884"/>
      <c r="O4" s="1883"/>
      <c r="P4" s="1884"/>
      <c r="Q4" s="1901"/>
    </row>
    <row r="5" spans="1:18" ht="15.75" thickBot="1">
      <c r="A5" s="1889"/>
      <c r="B5" s="1889"/>
      <c r="C5" s="1885"/>
      <c r="D5" s="1886"/>
      <c r="E5" s="1885"/>
      <c r="F5" s="1886"/>
      <c r="G5" s="1885"/>
      <c r="H5" s="1903"/>
      <c r="I5" s="1903"/>
      <c r="J5" s="1886"/>
      <c r="K5" s="1885"/>
      <c r="L5" s="1886"/>
      <c r="M5" s="1885"/>
      <c r="N5" s="1886"/>
      <c r="O5" s="1885"/>
      <c r="P5" s="1886"/>
      <c r="Q5" s="1901"/>
    </row>
    <row r="6" spans="1:18">
      <c r="A6" s="1889"/>
      <c r="B6" s="1889"/>
      <c r="C6" s="1888" t="s">
        <v>550</v>
      </c>
      <c r="D6" s="1888" t="s">
        <v>599</v>
      </c>
      <c r="E6" s="1882" t="s">
        <v>568</v>
      </c>
      <c r="F6" s="1882" t="s">
        <v>874</v>
      </c>
      <c r="G6" s="1902" t="s">
        <v>867</v>
      </c>
      <c r="H6" s="1882"/>
      <c r="I6" s="1881" t="s">
        <v>1161</v>
      </c>
      <c r="J6" s="1882"/>
      <c r="K6" s="1888" t="s">
        <v>568</v>
      </c>
      <c r="L6" s="1888" t="s">
        <v>875</v>
      </c>
      <c r="M6" s="1888" t="s">
        <v>570</v>
      </c>
      <c r="N6" s="1888" t="s">
        <v>872</v>
      </c>
      <c r="O6" s="1888" t="s">
        <v>568</v>
      </c>
      <c r="P6" s="1888" t="s">
        <v>873</v>
      </c>
      <c r="Q6" s="55"/>
    </row>
    <row r="7" spans="1:18" ht="15.75" thickBot="1">
      <c r="A7" s="1889"/>
      <c r="B7" s="1889"/>
      <c r="C7" s="1889"/>
      <c r="D7" s="1889"/>
      <c r="E7" s="1884"/>
      <c r="F7" s="1884"/>
      <c r="G7" s="1903"/>
      <c r="H7" s="1886"/>
      <c r="I7" s="1885"/>
      <c r="J7" s="1886"/>
      <c r="K7" s="1889"/>
      <c r="L7" s="1889"/>
      <c r="M7" s="1889"/>
      <c r="N7" s="1889"/>
      <c r="O7" s="1889"/>
      <c r="P7" s="1889"/>
      <c r="Q7" s="55"/>
    </row>
    <row r="8" spans="1:18" ht="45.75" thickBot="1">
      <c r="A8" s="1890"/>
      <c r="B8" s="1890"/>
      <c r="C8" s="1890"/>
      <c r="D8" s="1890"/>
      <c r="E8" s="1886"/>
      <c r="F8" s="1886"/>
      <c r="G8" s="158" t="s">
        <v>568</v>
      </c>
      <c r="H8" s="158" t="s">
        <v>872</v>
      </c>
      <c r="I8" s="158" t="s">
        <v>568</v>
      </c>
      <c r="J8" s="158" t="s">
        <v>569</v>
      </c>
      <c r="K8" s="1890"/>
      <c r="L8" s="1890"/>
      <c r="M8" s="1890"/>
      <c r="N8" s="1890"/>
      <c r="O8" s="1890"/>
      <c r="P8" s="1890"/>
      <c r="Q8" s="55"/>
    </row>
    <row r="9" spans="1:18">
      <c r="A9" s="1891" t="s">
        <v>2704</v>
      </c>
      <c r="B9" s="1892"/>
      <c r="C9" s="1892"/>
      <c r="D9" s="1892"/>
      <c r="E9" s="1892"/>
      <c r="F9" s="1892"/>
      <c r="G9" s="1892"/>
      <c r="H9" s="1892"/>
      <c r="I9" s="1892"/>
      <c r="J9" s="1892"/>
      <c r="K9" s="1892"/>
      <c r="L9" s="1892"/>
      <c r="M9" s="1892"/>
      <c r="N9" s="1892"/>
      <c r="O9" s="1892"/>
      <c r="P9" s="1893"/>
      <c r="Q9" s="55"/>
    </row>
    <row r="10" spans="1:18">
      <c r="A10" s="1894"/>
      <c r="B10" s="1895"/>
      <c r="C10" s="1895"/>
      <c r="D10" s="1895"/>
      <c r="E10" s="1895"/>
      <c r="F10" s="1895"/>
      <c r="G10" s="1895"/>
      <c r="H10" s="1895"/>
      <c r="I10" s="1895"/>
      <c r="J10" s="1895"/>
      <c r="K10" s="1895"/>
      <c r="L10" s="1895"/>
      <c r="M10" s="1895"/>
      <c r="N10" s="1895"/>
      <c r="O10" s="1895"/>
      <c r="P10" s="1896"/>
      <c r="Q10" s="55"/>
    </row>
    <row r="11" spans="1:18">
      <c r="A11" s="1894"/>
      <c r="B11" s="1895"/>
      <c r="C11" s="1895"/>
      <c r="D11" s="1895"/>
      <c r="E11" s="1895"/>
      <c r="F11" s="1895"/>
      <c r="G11" s="1895"/>
      <c r="H11" s="1895"/>
      <c r="I11" s="1895"/>
      <c r="J11" s="1895"/>
      <c r="K11" s="1895"/>
      <c r="L11" s="1895"/>
      <c r="M11" s="1895"/>
      <c r="N11" s="1895"/>
      <c r="O11" s="1895"/>
      <c r="P11" s="1896"/>
      <c r="Q11" s="55"/>
    </row>
    <row r="12" spans="1:18">
      <c r="A12" s="1894"/>
      <c r="B12" s="1895"/>
      <c r="C12" s="1895"/>
      <c r="D12" s="1895"/>
      <c r="E12" s="1895"/>
      <c r="F12" s="1895"/>
      <c r="G12" s="1895"/>
      <c r="H12" s="1895"/>
      <c r="I12" s="1895"/>
      <c r="J12" s="1895"/>
      <c r="K12" s="1895"/>
      <c r="L12" s="1895"/>
      <c r="M12" s="1895"/>
      <c r="N12" s="1895"/>
      <c r="O12" s="1895"/>
      <c r="P12" s="1896"/>
      <c r="Q12" s="55"/>
    </row>
    <row r="13" spans="1:18" ht="15.75" thickBot="1">
      <c r="A13" s="1897"/>
      <c r="B13" s="1898"/>
      <c r="C13" s="1898"/>
      <c r="D13" s="1898"/>
      <c r="E13" s="1898"/>
      <c r="F13" s="1898"/>
      <c r="G13" s="1898"/>
      <c r="H13" s="1898"/>
      <c r="I13" s="1898"/>
      <c r="J13" s="1898"/>
      <c r="K13" s="1898"/>
      <c r="L13" s="1898"/>
      <c r="M13" s="1898"/>
      <c r="N13" s="1898"/>
      <c r="O13" s="1898"/>
      <c r="P13" s="1899"/>
      <c r="Q13" s="55"/>
    </row>
    <row r="14" spans="1:18">
      <c r="A14" s="156" t="s">
        <v>578</v>
      </c>
    </row>
    <row r="15" spans="1:18" ht="38.25" customHeight="1">
      <c r="A15" s="1887" t="s">
        <v>600</v>
      </c>
      <c r="B15" s="1887"/>
      <c r="C15" s="1887"/>
      <c r="D15" s="1887"/>
      <c r="E15" s="1887"/>
      <c r="F15" s="1887"/>
      <c r="G15" s="1887"/>
      <c r="H15" s="1887"/>
      <c r="I15" s="1887"/>
      <c r="J15" s="1887"/>
      <c r="K15" s="1887"/>
      <c r="L15" s="1887"/>
      <c r="M15" s="1887"/>
      <c r="N15" s="1887"/>
      <c r="O15" s="1887"/>
      <c r="P15" s="1887"/>
    </row>
    <row r="16" spans="1:18">
      <c r="A16" s="156" t="s">
        <v>187</v>
      </c>
    </row>
    <row r="17" spans="1:16">
      <c r="A17" s="156" t="s">
        <v>868</v>
      </c>
    </row>
    <row r="18" spans="1:16">
      <c r="A18" s="156" t="s">
        <v>869</v>
      </c>
    </row>
    <row r="19" spans="1:16" ht="26.25" customHeight="1">
      <c r="A19" s="1887" t="s">
        <v>870</v>
      </c>
      <c r="B19" s="1887"/>
      <c r="C19" s="1887"/>
      <c r="D19" s="1887"/>
      <c r="E19" s="1887"/>
      <c r="F19" s="1887"/>
      <c r="G19" s="1887"/>
      <c r="H19" s="1887"/>
      <c r="I19" s="1887"/>
      <c r="J19" s="1887"/>
      <c r="K19" s="1887"/>
      <c r="L19" s="1887"/>
      <c r="M19" s="1887"/>
      <c r="N19" s="1887"/>
      <c r="O19" s="1887"/>
      <c r="P19" s="1887"/>
    </row>
    <row r="20" spans="1:16">
      <c r="A20" s="156" t="s">
        <v>871</v>
      </c>
    </row>
    <row r="21" spans="1:16" ht="16.5">
      <c r="A21" s="1900" t="s">
        <v>877</v>
      </c>
      <c r="B21" s="1900"/>
      <c r="C21" s="1900"/>
      <c r="D21" s="1900"/>
      <c r="E21" s="1900"/>
      <c r="F21" s="160"/>
      <c r="G21" s="160"/>
    </row>
    <row r="22" spans="1:16" ht="75">
      <c r="A22" s="159" t="s">
        <v>623</v>
      </c>
      <c r="B22" s="159" t="s">
        <v>189</v>
      </c>
      <c r="C22" s="155" t="s">
        <v>673</v>
      </c>
      <c r="D22" s="155" t="s">
        <v>677</v>
      </c>
      <c r="E22" s="155" t="s">
        <v>678</v>
      </c>
      <c r="F22" s="155" t="s">
        <v>680</v>
      </c>
      <c r="G22" s="155" t="s">
        <v>679</v>
      </c>
    </row>
    <row r="23" spans="1:16">
      <c r="A23" s="1872" t="s">
        <v>2705</v>
      </c>
      <c r="B23" s="1873"/>
      <c r="C23" s="1873"/>
      <c r="D23" s="1873"/>
      <c r="E23" s="1873"/>
      <c r="F23" s="1873"/>
      <c r="G23" s="1874"/>
    </row>
    <row r="24" spans="1:16">
      <c r="A24" s="1875"/>
      <c r="B24" s="1876"/>
      <c r="C24" s="1876"/>
      <c r="D24" s="1876"/>
      <c r="E24" s="1876"/>
      <c r="F24" s="1876"/>
      <c r="G24" s="1877"/>
    </row>
    <row r="25" spans="1:16">
      <c r="A25" s="69" t="s">
        <v>674</v>
      </c>
      <c r="B25" s="69"/>
      <c r="C25" s="69"/>
      <c r="D25" s="69"/>
      <c r="E25" s="69"/>
      <c r="F25" s="69"/>
      <c r="G25" s="69"/>
      <c r="H25" s="69"/>
      <c r="I25" s="69"/>
      <c r="J25" s="69"/>
      <c r="K25" s="69"/>
      <c r="L25" s="69"/>
      <c r="M25" s="69"/>
      <c r="N25" s="69"/>
      <c r="O25" s="69"/>
      <c r="P25" s="69"/>
    </row>
    <row r="26" spans="1:16">
      <c r="A26" s="69" t="s">
        <v>675</v>
      </c>
      <c r="B26" s="69"/>
      <c r="C26" s="69"/>
      <c r="D26" s="69"/>
      <c r="E26" s="69"/>
      <c r="F26" s="69"/>
      <c r="G26" s="69"/>
      <c r="H26" s="69"/>
      <c r="I26" s="69"/>
      <c r="J26" s="69"/>
      <c r="K26" s="69"/>
      <c r="L26" s="69"/>
      <c r="M26" s="69"/>
      <c r="N26" s="69"/>
      <c r="O26" s="69"/>
      <c r="P26" s="69"/>
    </row>
    <row r="27" spans="1:16">
      <c r="A27" s="69" t="s">
        <v>676</v>
      </c>
      <c r="B27" s="69"/>
      <c r="C27" s="69"/>
      <c r="D27" s="69"/>
      <c r="E27" s="69"/>
      <c r="F27" s="69"/>
      <c r="G27" s="69"/>
      <c r="H27" s="69"/>
      <c r="I27" s="69"/>
      <c r="J27" s="69"/>
      <c r="K27" s="69"/>
      <c r="L27" s="69"/>
      <c r="M27" s="69"/>
      <c r="N27" s="69"/>
      <c r="O27" s="69"/>
      <c r="P27" s="69"/>
    </row>
    <row r="30" spans="1:16" ht="16.5">
      <c r="M30" s="1763" t="s">
        <v>401</v>
      </c>
      <c r="N30" s="1763"/>
      <c r="O30" s="1763"/>
    </row>
  </sheetData>
  <mergeCells count="30">
    <mergeCell ref="Q3:Q5"/>
    <mergeCell ref="C6:C8"/>
    <mergeCell ref="D6:D8"/>
    <mergeCell ref="G6:H7"/>
    <mergeCell ref="I6:J7"/>
    <mergeCell ref="K6:K8"/>
    <mergeCell ref="L6:L8"/>
    <mergeCell ref="M6:M8"/>
    <mergeCell ref="N6:N8"/>
    <mergeCell ref="O6:O8"/>
    <mergeCell ref="G3:J5"/>
    <mergeCell ref="K3:L5"/>
    <mergeCell ref="M3:N5"/>
    <mergeCell ref="O3:P5"/>
    <mergeCell ref="A23:G24"/>
    <mergeCell ref="M30:O30"/>
    <mergeCell ref="A1:P1"/>
    <mergeCell ref="A2:J2"/>
    <mergeCell ref="O2:P2"/>
    <mergeCell ref="E3:F5"/>
    <mergeCell ref="C3:D5"/>
    <mergeCell ref="A15:P15"/>
    <mergeCell ref="P6:P8"/>
    <mergeCell ref="F6:F8"/>
    <mergeCell ref="E6:E8"/>
    <mergeCell ref="A3:A8"/>
    <mergeCell ref="B3:B8"/>
    <mergeCell ref="A9:P13"/>
    <mergeCell ref="A21:E21"/>
    <mergeCell ref="A19:P19"/>
  </mergeCells>
  <pageMargins left="0.25" right="0.3" top="0.74803149606299202" bottom="0.74803149606299202" header="0.31496062992126" footer="0.31496062992126"/>
  <pageSetup paperSize="9" scale="5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1:M40"/>
  <sheetViews>
    <sheetView showGridLines="0" view="pageBreakPreview" zoomScale="80" zoomScaleNormal="100" zoomScaleSheetLayoutView="80" workbookViewId="0">
      <selection activeCell="G6" sqref="G6"/>
    </sheetView>
  </sheetViews>
  <sheetFormatPr defaultRowHeight="15"/>
  <cols>
    <col min="1" max="1" width="4.5703125" style="289" customWidth="1"/>
    <col min="2" max="2" width="53" style="55" customWidth="1"/>
    <col min="3" max="3" width="8.7109375" style="289" hidden="1" customWidth="1"/>
    <col min="4" max="4" width="14.5703125" style="289" bestFit="1" customWidth="1"/>
    <col min="5" max="5" width="14.7109375" style="289" customWidth="1"/>
    <col min="6" max="6" width="12.28515625" style="609" bestFit="1" customWidth="1"/>
    <col min="7" max="7" width="14.28515625" style="289" bestFit="1" customWidth="1"/>
    <col min="8" max="9" width="14" style="821" customWidth="1"/>
    <col min="10" max="10" width="12" style="821" bestFit="1" customWidth="1"/>
    <col min="11" max="11" width="14.7109375" style="821" customWidth="1"/>
    <col min="12" max="12" width="12.7109375" style="289" bestFit="1" customWidth="1"/>
    <col min="13" max="13" width="14.5703125" style="289" customWidth="1"/>
    <col min="14" max="254" width="9.140625" style="289"/>
    <col min="255" max="255" width="3.42578125" style="289" bestFit="1" customWidth="1"/>
    <col min="256" max="256" width="57.140625" style="289" bestFit="1" customWidth="1"/>
    <col min="257" max="257" width="9.140625" style="289"/>
    <col min="258" max="260" width="12.42578125" style="289" bestFit="1" customWidth="1"/>
    <col min="261" max="510" width="9.140625" style="289"/>
    <col min="511" max="511" width="3.42578125" style="289" bestFit="1" customWidth="1"/>
    <col min="512" max="512" width="57.140625" style="289" bestFit="1" customWidth="1"/>
    <col min="513" max="513" width="9.140625" style="289"/>
    <col min="514" max="516" width="12.42578125" style="289" bestFit="1" customWidth="1"/>
    <col min="517" max="766" width="9.140625" style="289"/>
    <col min="767" max="767" width="3.42578125" style="289" bestFit="1" customWidth="1"/>
    <col min="768" max="768" width="57.140625" style="289" bestFit="1" customWidth="1"/>
    <col min="769" max="769" width="9.140625" style="289"/>
    <col min="770" max="772" width="12.42578125" style="289" bestFit="1" customWidth="1"/>
    <col min="773" max="1022" width="9.140625" style="289"/>
    <col min="1023" max="1023" width="3.42578125" style="289" bestFit="1" customWidth="1"/>
    <col min="1024" max="1024" width="57.140625" style="289" bestFit="1" customWidth="1"/>
    <col min="1025" max="1025" width="9.140625" style="289"/>
    <col min="1026" max="1028" width="12.42578125" style="289" bestFit="1" customWidth="1"/>
    <col min="1029" max="1278" width="9.140625" style="289"/>
    <col min="1279" max="1279" width="3.42578125" style="289" bestFit="1" customWidth="1"/>
    <col min="1280" max="1280" width="57.140625" style="289" bestFit="1" customWidth="1"/>
    <col min="1281" max="1281" width="9.140625" style="289"/>
    <col min="1282" max="1284" width="12.42578125" style="289" bestFit="1" customWidth="1"/>
    <col min="1285" max="1534" width="9.140625" style="289"/>
    <col min="1535" max="1535" width="3.42578125" style="289" bestFit="1" customWidth="1"/>
    <col min="1536" max="1536" width="57.140625" style="289" bestFit="1" customWidth="1"/>
    <col min="1537" max="1537" width="9.140625" style="289"/>
    <col min="1538" max="1540" width="12.42578125" style="289" bestFit="1" customWidth="1"/>
    <col min="1541" max="1790" width="9.140625" style="289"/>
    <col min="1791" max="1791" width="3.42578125" style="289" bestFit="1" customWidth="1"/>
    <col min="1792" max="1792" width="57.140625" style="289" bestFit="1" customWidth="1"/>
    <col min="1793" max="1793" width="9.140625" style="289"/>
    <col min="1794" max="1796" width="12.42578125" style="289" bestFit="1" customWidth="1"/>
    <col min="1797" max="2046" width="9.140625" style="289"/>
    <col min="2047" max="2047" width="3.42578125" style="289" bestFit="1" customWidth="1"/>
    <col min="2048" max="2048" width="57.140625" style="289" bestFit="1" customWidth="1"/>
    <col min="2049" max="2049" width="9.140625" style="289"/>
    <col min="2050" max="2052" width="12.42578125" style="289" bestFit="1" customWidth="1"/>
    <col min="2053" max="2302" width="9.140625" style="289"/>
    <col min="2303" max="2303" width="3.42578125" style="289" bestFit="1" customWidth="1"/>
    <col min="2304" max="2304" width="57.140625" style="289" bestFit="1" customWidth="1"/>
    <col min="2305" max="2305" width="9.140625" style="289"/>
    <col min="2306" max="2308" width="12.42578125" style="289" bestFit="1" customWidth="1"/>
    <col min="2309" max="2558" width="9.140625" style="289"/>
    <col min="2559" max="2559" width="3.42578125" style="289" bestFit="1" customWidth="1"/>
    <col min="2560" max="2560" width="57.140625" style="289" bestFit="1" customWidth="1"/>
    <col min="2561" max="2561" width="9.140625" style="289"/>
    <col min="2562" max="2564" width="12.42578125" style="289" bestFit="1" customWidth="1"/>
    <col min="2565" max="2814" width="9.140625" style="289"/>
    <col min="2815" max="2815" width="3.42578125" style="289" bestFit="1" customWidth="1"/>
    <col min="2816" max="2816" width="57.140625" style="289" bestFit="1" customWidth="1"/>
    <col min="2817" max="2817" width="9.140625" style="289"/>
    <col min="2818" max="2820" width="12.42578125" style="289" bestFit="1" customWidth="1"/>
    <col min="2821" max="3070" width="9.140625" style="289"/>
    <col min="3071" max="3071" width="3.42578125" style="289" bestFit="1" customWidth="1"/>
    <col min="3072" max="3072" width="57.140625" style="289" bestFit="1" customWidth="1"/>
    <col min="3073" max="3073" width="9.140625" style="289"/>
    <col min="3074" max="3076" width="12.42578125" style="289" bestFit="1" customWidth="1"/>
    <col min="3077" max="3326" width="9.140625" style="289"/>
    <col min="3327" max="3327" width="3.42578125" style="289" bestFit="1" customWidth="1"/>
    <col min="3328" max="3328" width="57.140625" style="289" bestFit="1" customWidth="1"/>
    <col min="3329" max="3329" width="9.140625" style="289"/>
    <col min="3330" max="3332" width="12.42578125" style="289" bestFit="1" customWidth="1"/>
    <col min="3333" max="3582" width="9.140625" style="289"/>
    <col min="3583" max="3583" width="3.42578125" style="289" bestFit="1" customWidth="1"/>
    <col min="3584" max="3584" width="57.140625" style="289" bestFit="1" customWidth="1"/>
    <col min="3585" max="3585" width="9.140625" style="289"/>
    <col min="3586" max="3588" width="12.42578125" style="289" bestFit="1" customWidth="1"/>
    <col min="3589" max="3838" width="9.140625" style="289"/>
    <col min="3839" max="3839" width="3.42578125" style="289" bestFit="1" customWidth="1"/>
    <col min="3840" max="3840" width="57.140625" style="289" bestFit="1" customWidth="1"/>
    <col min="3841" max="3841" width="9.140625" style="289"/>
    <col min="3842" max="3844" width="12.42578125" style="289" bestFit="1" customWidth="1"/>
    <col min="3845" max="4094" width="9.140625" style="289"/>
    <col min="4095" max="4095" width="3.42578125" style="289" bestFit="1" customWidth="1"/>
    <col min="4096" max="4096" width="57.140625" style="289" bestFit="1" customWidth="1"/>
    <col min="4097" max="4097" width="9.140625" style="289"/>
    <col min="4098" max="4100" width="12.42578125" style="289" bestFit="1" customWidth="1"/>
    <col min="4101" max="4350" width="9.140625" style="289"/>
    <col min="4351" max="4351" width="3.42578125" style="289" bestFit="1" customWidth="1"/>
    <col min="4352" max="4352" width="57.140625" style="289" bestFit="1" customWidth="1"/>
    <col min="4353" max="4353" width="9.140625" style="289"/>
    <col min="4354" max="4356" width="12.42578125" style="289" bestFit="1" customWidth="1"/>
    <col min="4357" max="4606" width="9.140625" style="289"/>
    <col min="4607" max="4607" width="3.42578125" style="289" bestFit="1" customWidth="1"/>
    <col min="4608" max="4608" width="57.140625" style="289" bestFit="1" customWidth="1"/>
    <col min="4609" max="4609" width="9.140625" style="289"/>
    <col min="4610" max="4612" width="12.42578125" style="289" bestFit="1" customWidth="1"/>
    <col min="4613" max="4862" width="9.140625" style="289"/>
    <col min="4863" max="4863" width="3.42578125" style="289" bestFit="1" customWidth="1"/>
    <col min="4864" max="4864" width="57.140625" style="289" bestFit="1" customWidth="1"/>
    <col min="4865" max="4865" width="9.140625" style="289"/>
    <col min="4866" max="4868" width="12.42578125" style="289" bestFit="1" customWidth="1"/>
    <col min="4869" max="5118" width="9.140625" style="289"/>
    <col min="5119" max="5119" width="3.42578125" style="289" bestFit="1" customWidth="1"/>
    <col min="5120" max="5120" width="57.140625" style="289" bestFit="1" customWidth="1"/>
    <col min="5121" max="5121" width="9.140625" style="289"/>
    <col min="5122" max="5124" width="12.42578125" style="289" bestFit="1" customWidth="1"/>
    <col min="5125" max="5374" width="9.140625" style="289"/>
    <col min="5375" max="5375" width="3.42578125" style="289" bestFit="1" customWidth="1"/>
    <col min="5376" max="5376" width="57.140625" style="289" bestFit="1" customWidth="1"/>
    <col min="5377" max="5377" width="9.140625" style="289"/>
    <col min="5378" max="5380" width="12.42578125" style="289" bestFit="1" customWidth="1"/>
    <col min="5381" max="5630" width="9.140625" style="289"/>
    <col min="5631" max="5631" width="3.42578125" style="289" bestFit="1" customWidth="1"/>
    <col min="5632" max="5632" width="57.140625" style="289" bestFit="1" customWidth="1"/>
    <col min="5633" max="5633" width="9.140625" style="289"/>
    <col min="5634" max="5636" width="12.42578125" style="289" bestFit="1" customWidth="1"/>
    <col min="5637" max="5886" width="9.140625" style="289"/>
    <col min="5887" max="5887" width="3.42578125" style="289" bestFit="1" customWidth="1"/>
    <col min="5888" max="5888" width="57.140625" style="289" bestFit="1" customWidth="1"/>
    <col min="5889" max="5889" width="9.140625" style="289"/>
    <col min="5890" max="5892" width="12.42578125" style="289" bestFit="1" customWidth="1"/>
    <col min="5893" max="6142" width="9.140625" style="289"/>
    <col min="6143" max="6143" width="3.42578125" style="289" bestFit="1" customWidth="1"/>
    <col min="6144" max="6144" width="57.140625" style="289" bestFit="1" customWidth="1"/>
    <col min="6145" max="6145" width="9.140625" style="289"/>
    <col min="6146" max="6148" width="12.42578125" style="289" bestFit="1" customWidth="1"/>
    <col min="6149" max="6398" width="9.140625" style="289"/>
    <col min="6399" max="6399" width="3.42578125" style="289" bestFit="1" customWidth="1"/>
    <col min="6400" max="6400" width="57.140625" style="289" bestFit="1" customWidth="1"/>
    <col min="6401" max="6401" width="9.140625" style="289"/>
    <col min="6402" max="6404" width="12.42578125" style="289" bestFit="1" customWidth="1"/>
    <col min="6405" max="6654" width="9.140625" style="289"/>
    <col min="6655" max="6655" width="3.42578125" style="289" bestFit="1" customWidth="1"/>
    <col min="6656" max="6656" width="57.140625" style="289" bestFit="1" customWidth="1"/>
    <col min="6657" max="6657" width="9.140625" style="289"/>
    <col min="6658" max="6660" width="12.42578125" style="289" bestFit="1" customWidth="1"/>
    <col min="6661" max="6910" width="9.140625" style="289"/>
    <col min="6911" max="6911" width="3.42578125" style="289" bestFit="1" customWidth="1"/>
    <col min="6912" max="6912" width="57.140625" style="289" bestFit="1" customWidth="1"/>
    <col min="6913" max="6913" width="9.140625" style="289"/>
    <col min="6914" max="6916" width="12.42578125" style="289" bestFit="1" customWidth="1"/>
    <col min="6917" max="7166" width="9.140625" style="289"/>
    <col min="7167" max="7167" width="3.42578125" style="289" bestFit="1" customWidth="1"/>
    <col min="7168" max="7168" width="57.140625" style="289" bestFit="1" customWidth="1"/>
    <col min="7169" max="7169" width="9.140625" style="289"/>
    <col min="7170" max="7172" width="12.42578125" style="289" bestFit="1" customWidth="1"/>
    <col min="7173" max="7422" width="9.140625" style="289"/>
    <col min="7423" max="7423" width="3.42578125" style="289" bestFit="1" customWidth="1"/>
    <col min="7424" max="7424" width="57.140625" style="289" bestFit="1" customWidth="1"/>
    <col min="7425" max="7425" width="9.140625" style="289"/>
    <col min="7426" max="7428" width="12.42578125" style="289" bestFit="1" customWidth="1"/>
    <col min="7429" max="7678" width="9.140625" style="289"/>
    <col min="7679" max="7679" width="3.42578125" style="289" bestFit="1" customWidth="1"/>
    <col min="7680" max="7680" width="57.140625" style="289" bestFit="1" customWidth="1"/>
    <col min="7681" max="7681" width="9.140625" style="289"/>
    <col min="7682" max="7684" width="12.42578125" style="289" bestFit="1" customWidth="1"/>
    <col min="7685" max="7934" width="9.140625" style="289"/>
    <col min="7935" max="7935" width="3.42578125" style="289" bestFit="1" customWidth="1"/>
    <col min="7936" max="7936" width="57.140625" style="289" bestFit="1" customWidth="1"/>
    <col min="7937" max="7937" width="9.140625" style="289"/>
    <col min="7938" max="7940" width="12.42578125" style="289" bestFit="1" customWidth="1"/>
    <col min="7941" max="8190" width="9.140625" style="289"/>
    <col min="8191" max="8191" width="3.42578125" style="289" bestFit="1" customWidth="1"/>
    <col min="8192" max="8192" width="57.140625" style="289" bestFit="1" customWidth="1"/>
    <col min="8193" max="8193" width="9.140625" style="289"/>
    <col min="8194" max="8196" width="12.42578125" style="289" bestFit="1" customWidth="1"/>
    <col min="8197" max="8446" width="9.140625" style="289"/>
    <col min="8447" max="8447" width="3.42578125" style="289" bestFit="1" customWidth="1"/>
    <col min="8448" max="8448" width="57.140625" style="289" bestFit="1" customWidth="1"/>
    <col min="8449" max="8449" width="9.140625" style="289"/>
    <col min="8450" max="8452" width="12.42578125" style="289" bestFit="1" customWidth="1"/>
    <col min="8453" max="8702" width="9.140625" style="289"/>
    <col min="8703" max="8703" width="3.42578125" style="289" bestFit="1" customWidth="1"/>
    <col min="8704" max="8704" width="57.140625" style="289" bestFit="1" customWidth="1"/>
    <col min="8705" max="8705" width="9.140625" style="289"/>
    <col min="8706" max="8708" width="12.42578125" style="289" bestFit="1" customWidth="1"/>
    <col min="8709" max="8958" width="9.140625" style="289"/>
    <col min="8959" max="8959" width="3.42578125" style="289" bestFit="1" customWidth="1"/>
    <col min="8960" max="8960" width="57.140625" style="289" bestFit="1" customWidth="1"/>
    <col min="8961" max="8961" width="9.140625" style="289"/>
    <col min="8962" max="8964" width="12.42578125" style="289" bestFit="1" customWidth="1"/>
    <col min="8965" max="9214" width="9.140625" style="289"/>
    <col min="9215" max="9215" width="3.42578125" style="289" bestFit="1" customWidth="1"/>
    <col min="9216" max="9216" width="57.140625" style="289" bestFit="1" customWidth="1"/>
    <col min="9217" max="9217" width="9.140625" style="289"/>
    <col min="9218" max="9220" width="12.42578125" style="289" bestFit="1" customWidth="1"/>
    <col min="9221" max="9470" width="9.140625" style="289"/>
    <col min="9471" max="9471" width="3.42578125" style="289" bestFit="1" customWidth="1"/>
    <col min="9472" max="9472" width="57.140625" style="289" bestFit="1" customWidth="1"/>
    <col min="9473" max="9473" width="9.140625" style="289"/>
    <col min="9474" max="9476" width="12.42578125" style="289" bestFit="1" customWidth="1"/>
    <col min="9477" max="9726" width="9.140625" style="289"/>
    <col min="9727" max="9727" width="3.42578125" style="289" bestFit="1" customWidth="1"/>
    <col min="9728" max="9728" width="57.140625" style="289" bestFit="1" customWidth="1"/>
    <col min="9729" max="9729" width="9.140625" style="289"/>
    <col min="9730" max="9732" width="12.42578125" style="289" bestFit="1" customWidth="1"/>
    <col min="9733" max="9982" width="9.140625" style="289"/>
    <col min="9983" max="9983" width="3.42578125" style="289" bestFit="1" customWidth="1"/>
    <col min="9984" max="9984" width="57.140625" style="289" bestFit="1" customWidth="1"/>
    <col min="9985" max="9985" width="9.140625" style="289"/>
    <col min="9986" max="9988" width="12.42578125" style="289" bestFit="1" customWidth="1"/>
    <col min="9989" max="10238" width="9.140625" style="289"/>
    <col min="10239" max="10239" width="3.42578125" style="289" bestFit="1" customWidth="1"/>
    <col min="10240" max="10240" width="57.140625" style="289" bestFit="1" customWidth="1"/>
    <col min="10241" max="10241" width="9.140625" style="289"/>
    <col min="10242" max="10244" width="12.42578125" style="289" bestFit="1" customWidth="1"/>
    <col min="10245" max="10494" width="9.140625" style="289"/>
    <col min="10495" max="10495" width="3.42578125" style="289" bestFit="1" customWidth="1"/>
    <col min="10496" max="10496" width="57.140625" style="289" bestFit="1" customWidth="1"/>
    <col min="10497" max="10497" width="9.140625" style="289"/>
    <col min="10498" max="10500" width="12.42578125" style="289" bestFit="1" customWidth="1"/>
    <col min="10501" max="10750" width="9.140625" style="289"/>
    <col min="10751" max="10751" width="3.42578125" style="289" bestFit="1" customWidth="1"/>
    <col min="10752" max="10752" width="57.140625" style="289" bestFit="1" customWidth="1"/>
    <col min="10753" max="10753" width="9.140625" style="289"/>
    <col min="10754" max="10756" width="12.42578125" style="289" bestFit="1" customWidth="1"/>
    <col min="10757" max="11006" width="9.140625" style="289"/>
    <col min="11007" max="11007" width="3.42578125" style="289" bestFit="1" customWidth="1"/>
    <col min="11008" max="11008" width="57.140625" style="289" bestFit="1" customWidth="1"/>
    <col min="11009" max="11009" width="9.140625" style="289"/>
    <col min="11010" max="11012" width="12.42578125" style="289" bestFit="1" customWidth="1"/>
    <col min="11013" max="11262" width="9.140625" style="289"/>
    <col min="11263" max="11263" width="3.42578125" style="289" bestFit="1" customWidth="1"/>
    <col min="11264" max="11264" width="57.140625" style="289" bestFit="1" customWidth="1"/>
    <col min="11265" max="11265" width="9.140625" style="289"/>
    <col min="11266" max="11268" width="12.42578125" style="289" bestFit="1" customWidth="1"/>
    <col min="11269" max="11518" width="9.140625" style="289"/>
    <col min="11519" max="11519" width="3.42578125" style="289" bestFit="1" customWidth="1"/>
    <col min="11520" max="11520" width="57.140625" style="289" bestFit="1" customWidth="1"/>
    <col min="11521" max="11521" width="9.140625" style="289"/>
    <col min="11522" max="11524" width="12.42578125" style="289" bestFit="1" customWidth="1"/>
    <col min="11525" max="11774" width="9.140625" style="289"/>
    <col min="11775" max="11775" width="3.42578125" style="289" bestFit="1" customWidth="1"/>
    <col min="11776" max="11776" width="57.140625" style="289" bestFit="1" customWidth="1"/>
    <col min="11777" max="11777" width="9.140625" style="289"/>
    <col min="11778" max="11780" width="12.42578125" style="289" bestFit="1" customWidth="1"/>
    <col min="11781" max="12030" width="9.140625" style="289"/>
    <col min="12031" max="12031" width="3.42578125" style="289" bestFit="1" customWidth="1"/>
    <col min="12032" max="12032" width="57.140625" style="289" bestFit="1" customWidth="1"/>
    <col min="12033" max="12033" width="9.140625" style="289"/>
    <col min="12034" max="12036" width="12.42578125" style="289" bestFit="1" customWidth="1"/>
    <col min="12037" max="12286" width="9.140625" style="289"/>
    <col min="12287" max="12287" width="3.42578125" style="289" bestFit="1" customWidth="1"/>
    <col min="12288" max="12288" width="57.140625" style="289" bestFit="1" customWidth="1"/>
    <col min="12289" max="12289" width="9.140625" style="289"/>
    <col min="12290" max="12292" width="12.42578125" style="289" bestFit="1" customWidth="1"/>
    <col min="12293" max="12542" width="9.140625" style="289"/>
    <col min="12543" max="12543" width="3.42578125" style="289" bestFit="1" customWidth="1"/>
    <col min="12544" max="12544" width="57.140625" style="289" bestFit="1" customWidth="1"/>
    <col min="12545" max="12545" width="9.140625" style="289"/>
    <col min="12546" max="12548" width="12.42578125" style="289" bestFit="1" customWidth="1"/>
    <col min="12549" max="12798" width="9.140625" style="289"/>
    <col min="12799" max="12799" width="3.42578125" style="289" bestFit="1" customWidth="1"/>
    <col min="12800" max="12800" width="57.140625" style="289" bestFit="1" customWidth="1"/>
    <col min="12801" max="12801" width="9.140625" style="289"/>
    <col min="12802" max="12804" width="12.42578125" style="289" bestFit="1" customWidth="1"/>
    <col min="12805" max="13054" width="9.140625" style="289"/>
    <col min="13055" max="13055" width="3.42578125" style="289" bestFit="1" customWidth="1"/>
    <col min="13056" max="13056" width="57.140625" style="289" bestFit="1" customWidth="1"/>
    <col min="13057" max="13057" width="9.140625" style="289"/>
    <col min="13058" max="13060" width="12.42578125" style="289" bestFit="1" customWidth="1"/>
    <col min="13061" max="13310" width="9.140625" style="289"/>
    <col min="13311" max="13311" width="3.42578125" style="289" bestFit="1" customWidth="1"/>
    <col min="13312" max="13312" width="57.140625" style="289" bestFit="1" customWidth="1"/>
    <col min="13313" max="13313" width="9.140625" style="289"/>
    <col min="13314" max="13316" width="12.42578125" style="289" bestFit="1" customWidth="1"/>
    <col min="13317" max="13566" width="9.140625" style="289"/>
    <col min="13567" max="13567" width="3.42578125" style="289" bestFit="1" customWidth="1"/>
    <col min="13568" max="13568" width="57.140625" style="289" bestFit="1" customWidth="1"/>
    <col min="13569" max="13569" width="9.140625" style="289"/>
    <col min="13570" max="13572" width="12.42578125" style="289" bestFit="1" customWidth="1"/>
    <col min="13573" max="13822" width="9.140625" style="289"/>
    <col min="13823" max="13823" width="3.42578125" style="289" bestFit="1" customWidth="1"/>
    <col min="13824" max="13824" width="57.140625" style="289" bestFit="1" customWidth="1"/>
    <col min="13825" max="13825" width="9.140625" style="289"/>
    <col min="13826" max="13828" width="12.42578125" style="289" bestFit="1" customWidth="1"/>
    <col min="13829" max="14078" width="9.140625" style="289"/>
    <col min="14079" max="14079" width="3.42578125" style="289" bestFit="1" customWidth="1"/>
    <col min="14080" max="14080" width="57.140625" style="289" bestFit="1" customWidth="1"/>
    <col min="14081" max="14081" width="9.140625" style="289"/>
    <col min="14082" max="14084" width="12.42578125" style="289" bestFit="1" customWidth="1"/>
    <col min="14085" max="14334" width="9.140625" style="289"/>
    <col min="14335" max="14335" width="3.42578125" style="289" bestFit="1" customWidth="1"/>
    <col min="14336" max="14336" width="57.140625" style="289" bestFit="1" customWidth="1"/>
    <col min="14337" max="14337" width="9.140625" style="289"/>
    <col min="14338" max="14340" width="12.42578125" style="289" bestFit="1" customWidth="1"/>
    <col min="14341" max="14590" width="9.140625" style="289"/>
    <col min="14591" max="14591" width="3.42578125" style="289" bestFit="1" customWidth="1"/>
    <col min="14592" max="14592" width="57.140625" style="289" bestFit="1" customWidth="1"/>
    <col min="14593" max="14593" width="9.140625" style="289"/>
    <col min="14594" max="14596" width="12.42578125" style="289" bestFit="1" customWidth="1"/>
    <col min="14597" max="14846" width="9.140625" style="289"/>
    <col min="14847" max="14847" width="3.42578125" style="289" bestFit="1" customWidth="1"/>
    <col min="14848" max="14848" width="57.140625" style="289" bestFit="1" customWidth="1"/>
    <col min="14849" max="14849" width="9.140625" style="289"/>
    <col min="14850" max="14852" width="12.42578125" style="289" bestFit="1" customWidth="1"/>
    <col min="14853" max="15102" width="9.140625" style="289"/>
    <col min="15103" max="15103" width="3.42578125" style="289" bestFit="1" customWidth="1"/>
    <col min="15104" max="15104" width="57.140625" style="289" bestFit="1" customWidth="1"/>
    <col min="15105" max="15105" width="9.140625" style="289"/>
    <col min="15106" max="15108" width="12.42578125" style="289" bestFit="1" customWidth="1"/>
    <col min="15109" max="15358" width="9.140625" style="289"/>
    <col min="15359" max="15359" width="3.42578125" style="289" bestFit="1" customWidth="1"/>
    <col min="15360" max="15360" width="57.140625" style="289" bestFit="1" customWidth="1"/>
    <col min="15361" max="15361" width="9.140625" style="289"/>
    <col min="15362" max="15364" width="12.42578125" style="289" bestFit="1" customWidth="1"/>
    <col min="15365" max="15614" width="9.140625" style="289"/>
    <col min="15615" max="15615" width="3.42578125" style="289" bestFit="1" customWidth="1"/>
    <col min="15616" max="15616" width="57.140625" style="289" bestFit="1" customWidth="1"/>
    <col min="15617" max="15617" width="9.140625" style="289"/>
    <col min="15618" max="15620" width="12.42578125" style="289" bestFit="1" customWidth="1"/>
    <col min="15621" max="15870" width="9.140625" style="289"/>
    <col min="15871" max="15871" width="3.42578125" style="289" bestFit="1" customWidth="1"/>
    <col min="15872" max="15872" width="57.140625" style="289" bestFit="1" customWidth="1"/>
    <col min="15873" max="15873" width="9.140625" style="289"/>
    <col min="15874" max="15876" width="12.42578125" style="289" bestFit="1" customWidth="1"/>
    <col min="15877" max="16126" width="9.140625" style="289"/>
    <col min="16127" max="16127" width="3.42578125" style="289" bestFit="1" customWidth="1"/>
    <col min="16128" max="16128" width="57.140625" style="289" bestFit="1" customWidth="1"/>
    <col min="16129" max="16129" width="9.140625" style="289"/>
    <col min="16130" max="16132" width="12.42578125" style="289" bestFit="1" customWidth="1"/>
    <col min="16133" max="16384" width="9.140625" style="289"/>
  </cols>
  <sheetData>
    <row r="1" spans="1:13" ht="21" customHeight="1">
      <c r="A1" s="1914" t="s">
        <v>47</v>
      </c>
      <c r="B1" s="1914"/>
      <c r="C1" s="1914"/>
      <c r="D1" s="1914"/>
      <c r="E1" s="1914"/>
      <c r="F1" s="1914"/>
      <c r="G1" s="1914"/>
      <c r="H1" s="1914"/>
      <c r="I1" s="1914"/>
      <c r="J1" s="1914"/>
      <c r="K1" s="1914"/>
      <c r="L1" s="1914"/>
      <c r="M1" s="1914"/>
    </row>
    <row r="2" spans="1:13" ht="28.5" customHeight="1">
      <c r="A2" s="1918" t="s">
        <v>878</v>
      </c>
      <c r="B2" s="1918"/>
      <c r="C2" s="1918"/>
      <c r="D2" s="1918"/>
      <c r="E2" s="1918"/>
      <c r="F2" s="1918"/>
      <c r="G2" s="1918"/>
      <c r="H2" s="819"/>
      <c r="I2" s="819"/>
      <c r="J2" s="819"/>
      <c r="K2" s="819"/>
      <c r="L2" s="1916" t="s">
        <v>858</v>
      </c>
      <c r="M2" s="1916"/>
    </row>
    <row r="3" spans="1:13" ht="21" customHeight="1">
      <c r="A3" s="1919"/>
      <c r="B3" s="1919"/>
      <c r="C3" s="1919"/>
      <c r="D3" s="1919"/>
      <c r="E3" s="1919"/>
      <c r="F3" s="1919"/>
      <c r="G3" s="1919"/>
      <c r="H3" s="820"/>
      <c r="I3" s="819"/>
      <c r="J3" s="819"/>
      <c r="K3" s="819"/>
      <c r="L3" s="1915" t="s">
        <v>156</v>
      </c>
      <c r="M3" s="1915"/>
    </row>
    <row r="4" spans="1:13" ht="45.75" customHeight="1">
      <c r="A4" s="1905"/>
      <c r="B4" s="1905" t="s">
        <v>48</v>
      </c>
      <c r="C4" s="1905" t="s">
        <v>5</v>
      </c>
      <c r="D4" s="1917" t="s">
        <v>1108</v>
      </c>
      <c r="E4" s="1917"/>
      <c r="F4" s="1920" t="s">
        <v>1173</v>
      </c>
      <c r="G4" s="1921"/>
      <c r="H4" s="1922" t="s">
        <v>1852</v>
      </c>
      <c r="I4" s="1922"/>
      <c r="J4" s="1922"/>
      <c r="K4" s="839"/>
      <c r="L4" s="839"/>
    </row>
    <row r="5" spans="1:13" ht="34.5" customHeight="1">
      <c r="A5" s="1906"/>
      <c r="B5" s="1906"/>
      <c r="C5" s="1906"/>
      <c r="D5" s="284" t="s">
        <v>550</v>
      </c>
      <c r="E5" s="284" t="s">
        <v>230</v>
      </c>
      <c r="F5" s="600" t="s">
        <v>1160</v>
      </c>
      <c r="G5" s="600" t="s">
        <v>1562</v>
      </c>
      <c r="H5" s="823" t="s">
        <v>1841</v>
      </c>
      <c r="I5" s="823" t="s">
        <v>1842</v>
      </c>
      <c r="J5" s="823" t="s">
        <v>1843</v>
      </c>
      <c r="K5" s="289"/>
    </row>
    <row r="6" spans="1:13">
      <c r="A6" s="73">
        <v>1</v>
      </c>
      <c r="B6" s="149" t="s">
        <v>344</v>
      </c>
      <c r="C6" s="73" t="s">
        <v>112</v>
      </c>
      <c r="D6" s="621">
        <f>'F7-1'!C17</f>
        <v>10648.82</v>
      </c>
      <c r="E6" s="621">
        <f>'F7-1'!D17</f>
        <v>10206.055562</v>
      </c>
      <c r="F6" s="621">
        <f>'F7-1'!E17</f>
        <v>12620.6</v>
      </c>
      <c r="G6" s="621">
        <f>'F7-1'!H17</f>
        <v>11569.5514594</v>
      </c>
      <c r="H6" s="621">
        <f>'F7-1'!I17</f>
        <v>13082.591221409555</v>
      </c>
      <c r="I6" s="621">
        <f>'F7-1'!J17</f>
        <v>14785.728493409555</v>
      </c>
      <c r="J6" s="621">
        <f>'F7-1'!K17</f>
        <v>16689.598235809557</v>
      </c>
      <c r="K6" s="289"/>
    </row>
    <row r="7" spans="1:13">
      <c r="A7" s="73"/>
      <c r="B7" s="149" t="s">
        <v>562</v>
      </c>
      <c r="C7" s="73"/>
      <c r="D7" s="621">
        <v>0</v>
      </c>
      <c r="E7" s="621">
        <v>0</v>
      </c>
      <c r="F7" s="621">
        <v>0</v>
      </c>
      <c r="G7" s="621">
        <v>0</v>
      </c>
      <c r="H7" s="621">
        <v>0</v>
      </c>
      <c r="I7" s="621">
        <v>0</v>
      </c>
      <c r="J7" s="621">
        <v>0</v>
      </c>
      <c r="K7" s="289"/>
    </row>
    <row r="8" spans="1:13" ht="30">
      <c r="A8" s="73"/>
      <c r="B8" s="149" t="s">
        <v>564</v>
      </c>
      <c r="C8" s="73"/>
      <c r="D8" s="315"/>
      <c r="E8" s="315"/>
      <c r="F8" s="315"/>
      <c r="G8" s="315"/>
      <c r="H8" s="315"/>
      <c r="I8" s="315"/>
      <c r="J8" s="315"/>
      <c r="K8" s="289"/>
    </row>
    <row r="9" spans="1:13">
      <c r="A9" s="73"/>
      <c r="B9" s="149" t="s">
        <v>563</v>
      </c>
      <c r="C9" s="73"/>
      <c r="D9" s="315"/>
      <c r="E9" s="315"/>
      <c r="F9" s="315"/>
      <c r="G9" s="315"/>
      <c r="H9" s="315"/>
      <c r="I9" s="315"/>
      <c r="J9" s="315"/>
      <c r="K9" s="289"/>
    </row>
    <row r="10" spans="1:13">
      <c r="A10" s="73"/>
      <c r="B10" s="149" t="s">
        <v>582</v>
      </c>
      <c r="C10" s="73"/>
      <c r="D10" s="315"/>
      <c r="E10" s="315"/>
      <c r="F10" s="315"/>
      <c r="G10" s="315"/>
      <c r="H10" s="315"/>
      <c r="I10" s="315"/>
      <c r="J10" s="315"/>
      <c r="K10" s="289"/>
    </row>
    <row r="11" spans="1:13">
      <c r="A11" s="73"/>
      <c r="B11" s="149" t="s">
        <v>561</v>
      </c>
      <c r="C11" s="73"/>
      <c r="D11" s="621">
        <f>D6</f>
        <v>10648.82</v>
      </c>
      <c r="E11" s="621">
        <f>E6</f>
        <v>10206.055562</v>
      </c>
      <c r="F11" s="621">
        <f>F6</f>
        <v>12620.6</v>
      </c>
      <c r="G11" s="621">
        <f>G6</f>
        <v>11569.5514594</v>
      </c>
      <c r="H11" s="621">
        <f>H6</f>
        <v>13082.591221409555</v>
      </c>
      <c r="I11" s="621">
        <f t="shared" ref="I11:J11" si="0">I6</f>
        <v>14785.728493409555</v>
      </c>
      <c r="J11" s="621">
        <f t="shared" si="0"/>
        <v>16689.598235809557</v>
      </c>
      <c r="K11" s="289"/>
    </row>
    <row r="12" spans="1:13" ht="30">
      <c r="A12" s="73"/>
      <c r="B12" s="149" t="s">
        <v>530</v>
      </c>
      <c r="C12" s="73"/>
      <c r="D12" s="315"/>
      <c r="E12" s="315"/>
      <c r="F12" s="315"/>
      <c r="G12" s="315"/>
      <c r="H12" s="315"/>
      <c r="I12" s="164"/>
      <c r="J12" s="164"/>
      <c r="K12" s="289"/>
    </row>
    <row r="13" spans="1:13">
      <c r="A13" s="73">
        <v>2</v>
      </c>
      <c r="B13" s="162" t="s">
        <v>601</v>
      </c>
      <c r="C13" s="163" t="s">
        <v>105</v>
      </c>
      <c r="D13" s="315"/>
      <c r="E13" s="315"/>
      <c r="F13" s="315"/>
      <c r="G13" s="315"/>
      <c r="H13" s="315"/>
      <c r="I13" s="164"/>
      <c r="J13" s="164"/>
      <c r="K13" s="289"/>
    </row>
    <row r="14" spans="1:13">
      <c r="A14" s="73">
        <v>3</v>
      </c>
      <c r="B14" s="165" t="s">
        <v>614</v>
      </c>
      <c r="C14" s="163" t="s">
        <v>110</v>
      </c>
      <c r="D14" s="316"/>
      <c r="E14" s="316"/>
      <c r="F14" s="316"/>
      <c r="G14" s="316"/>
      <c r="H14" s="316"/>
      <c r="I14" s="164"/>
      <c r="J14" s="164"/>
      <c r="K14" s="289"/>
    </row>
    <row r="15" spans="1:13">
      <c r="A15" s="73">
        <v>4</v>
      </c>
      <c r="B15" s="149" t="s">
        <v>414</v>
      </c>
      <c r="C15" s="73" t="s">
        <v>104</v>
      </c>
      <c r="D15" s="315"/>
      <c r="E15" s="315"/>
      <c r="F15" s="315"/>
      <c r="G15" s="315"/>
      <c r="H15" s="315"/>
      <c r="I15" s="164"/>
      <c r="J15" s="164"/>
      <c r="K15" s="289"/>
    </row>
    <row r="16" spans="1:13">
      <c r="A16" s="166">
        <v>5</v>
      </c>
      <c r="B16" s="149" t="s">
        <v>355</v>
      </c>
      <c r="C16" s="73"/>
      <c r="D16" s="315"/>
      <c r="E16" s="315"/>
      <c r="F16" s="315"/>
      <c r="G16" s="315"/>
      <c r="H16" s="315"/>
      <c r="I16" s="246"/>
      <c r="J16" s="246"/>
      <c r="K16" s="289"/>
    </row>
    <row r="17" spans="1:13">
      <c r="A17" s="166">
        <v>6</v>
      </c>
      <c r="B17" s="165" t="s">
        <v>577</v>
      </c>
      <c r="C17" s="163"/>
      <c r="D17" s="621">
        <f>D11</f>
        <v>10648.82</v>
      </c>
      <c r="E17" s="621">
        <f t="shared" ref="E17:J17" si="1">E11</f>
        <v>10206.055562</v>
      </c>
      <c r="F17" s="621">
        <f t="shared" si="1"/>
        <v>12620.6</v>
      </c>
      <c r="G17" s="621">
        <f t="shared" si="1"/>
        <v>11569.5514594</v>
      </c>
      <c r="H17" s="621">
        <f t="shared" si="1"/>
        <v>13082.591221409555</v>
      </c>
      <c r="I17" s="621">
        <f t="shared" si="1"/>
        <v>14785.728493409555</v>
      </c>
      <c r="J17" s="621">
        <f t="shared" si="1"/>
        <v>16689.598235809557</v>
      </c>
      <c r="K17" s="94"/>
      <c r="L17" s="94"/>
    </row>
    <row r="18" spans="1:13" ht="15" customHeight="1">
      <c r="A18" s="1912" t="s">
        <v>579</v>
      </c>
      <c r="B18" s="1912"/>
      <c r="C18" s="1912"/>
      <c r="D18" s="1912"/>
      <c r="E18" s="1912"/>
      <c r="F18" s="1912"/>
      <c r="G18" s="1912"/>
      <c r="H18" s="1912"/>
      <c r="I18" s="1912"/>
      <c r="J18" s="1912"/>
      <c r="K18" s="1913"/>
      <c r="L18" s="1913"/>
      <c r="M18" s="1913"/>
    </row>
    <row r="19" spans="1:13">
      <c r="A19" s="172" t="s">
        <v>580</v>
      </c>
      <c r="B19" s="167"/>
      <c r="C19" s="167"/>
      <c r="D19" s="287"/>
    </row>
    <row r="20" spans="1:13" ht="15" customHeight="1">
      <c r="A20" s="1907" t="s">
        <v>583</v>
      </c>
      <c r="B20" s="1907"/>
      <c r="C20" s="1907"/>
      <c r="D20" s="1907"/>
      <c r="E20" s="1907"/>
      <c r="F20" s="1907"/>
      <c r="G20" s="1907"/>
      <c r="H20" s="1907"/>
      <c r="I20" s="1907"/>
      <c r="J20" s="1907"/>
      <c r="K20" s="1907"/>
      <c r="L20" s="1907"/>
      <c r="M20" s="1907"/>
    </row>
    <row r="21" spans="1:13">
      <c r="A21" s="289" t="s">
        <v>581</v>
      </c>
    </row>
    <row r="23" spans="1:13" ht="15" customHeight="1">
      <c r="A23" s="1908" t="s">
        <v>879</v>
      </c>
      <c r="B23" s="1908"/>
      <c r="C23" s="1908"/>
      <c r="D23" s="1908"/>
      <c r="E23" s="1908"/>
      <c r="F23" s="1908"/>
      <c r="G23" s="1908"/>
      <c r="H23" s="817"/>
      <c r="I23" s="817"/>
      <c r="J23" s="817"/>
      <c r="K23" s="817"/>
      <c r="L23" s="289" t="s">
        <v>320</v>
      </c>
    </row>
    <row r="24" spans="1:13" ht="29.25" customHeight="1">
      <c r="B24" s="1905" t="s">
        <v>48</v>
      </c>
      <c r="D24" s="1909" t="s">
        <v>1108</v>
      </c>
      <c r="E24" s="1909"/>
      <c r="F24" s="1909" t="s">
        <v>1173</v>
      </c>
      <c r="G24" s="1909"/>
      <c r="H24" s="1910" t="s">
        <v>1841</v>
      </c>
      <c r="I24" s="1911"/>
      <c r="J24" s="1910" t="s">
        <v>1842</v>
      </c>
      <c r="K24" s="1911"/>
      <c r="L24" s="1910" t="s">
        <v>1843</v>
      </c>
      <c r="M24" s="1911"/>
    </row>
    <row r="25" spans="1:13">
      <c r="B25" s="1906"/>
      <c r="D25" s="288" t="s">
        <v>220</v>
      </c>
      <c r="E25" s="288" t="s">
        <v>221</v>
      </c>
      <c r="F25" s="607" t="s">
        <v>220</v>
      </c>
      <c r="G25" s="607" t="s">
        <v>221</v>
      </c>
      <c r="H25" s="818" t="s">
        <v>220</v>
      </c>
      <c r="I25" s="818" t="s">
        <v>221</v>
      </c>
      <c r="J25" s="818" t="s">
        <v>220</v>
      </c>
      <c r="K25" s="818" t="s">
        <v>221</v>
      </c>
      <c r="L25" s="607" t="s">
        <v>220</v>
      </c>
      <c r="M25" s="607" t="s">
        <v>221</v>
      </c>
    </row>
    <row r="26" spans="1:13">
      <c r="B26" s="169" t="s">
        <v>209</v>
      </c>
      <c r="D26" s="101"/>
      <c r="E26" s="101"/>
      <c r="F26" s="101"/>
      <c r="G26" s="101"/>
      <c r="H26" s="101"/>
      <c r="I26" s="101"/>
      <c r="J26" s="101"/>
      <c r="K26" s="101"/>
      <c r="L26" s="101"/>
      <c r="M26" s="101"/>
    </row>
    <row r="27" spans="1:13">
      <c r="B27" s="170" t="s">
        <v>222</v>
      </c>
      <c r="D27" s="101"/>
      <c r="E27" s="245">
        <f>E17*70%</f>
        <v>7144.2388933999991</v>
      </c>
      <c r="F27" s="101"/>
      <c r="G27" s="245">
        <f>G17*80%</f>
        <v>9255.6411675199997</v>
      </c>
      <c r="H27" s="245"/>
      <c r="I27" s="245">
        <f>H17*80%</f>
        <v>10466.072977127646</v>
      </c>
      <c r="J27" s="245"/>
      <c r="K27" s="245">
        <f>I17*80%</f>
        <v>11828.582794727645</v>
      </c>
      <c r="L27" s="101"/>
      <c r="M27" s="245">
        <f>J17*80%</f>
        <v>13351.678588647646</v>
      </c>
    </row>
    <row r="28" spans="1:13">
      <c r="B28" s="170" t="s">
        <v>223</v>
      </c>
      <c r="D28" s="101"/>
      <c r="E28" s="101"/>
      <c r="F28" s="101"/>
      <c r="G28" s="101"/>
      <c r="H28" s="101"/>
      <c r="I28" s="101"/>
      <c r="J28" s="101"/>
      <c r="K28" s="101"/>
      <c r="L28" s="101"/>
      <c r="M28" s="101"/>
    </row>
    <row r="29" spans="1:13">
      <c r="B29" s="170" t="s">
        <v>224</v>
      </c>
      <c r="D29" s="101"/>
      <c r="E29" s="101"/>
      <c r="F29" s="101"/>
      <c r="G29" s="101"/>
      <c r="H29" s="101"/>
      <c r="I29" s="101"/>
      <c r="J29" s="101"/>
      <c r="K29" s="101"/>
      <c r="L29" s="101"/>
      <c r="M29" s="101"/>
    </row>
    <row r="30" spans="1:13">
      <c r="B30" s="169" t="s">
        <v>225</v>
      </c>
      <c r="D30" s="623"/>
      <c r="E30" s="624">
        <f>SUM(E27:E29)</f>
        <v>7144.2388933999991</v>
      </c>
      <c r="F30" s="624"/>
      <c r="G30" s="624">
        <f>SUM(G27:G29)</f>
        <v>9255.6411675199997</v>
      </c>
      <c r="H30" s="624"/>
      <c r="I30" s="624">
        <f>SUM(I27:I29)</f>
        <v>10466.072977127646</v>
      </c>
      <c r="J30" s="624"/>
      <c r="K30" s="624">
        <f>SUM(K27:K29)</f>
        <v>11828.582794727645</v>
      </c>
      <c r="L30" s="624"/>
      <c r="M30" s="624">
        <f>SUM(M27:M29)</f>
        <v>13351.678588647646</v>
      </c>
    </row>
    <row r="31" spans="1:13">
      <c r="B31" s="102" t="s">
        <v>219</v>
      </c>
      <c r="D31" s="101"/>
      <c r="E31" s="101"/>
      <c r="F31" s="101"/>
      <c r="G31" s="101"/>
      <c r="H31" s="101"/>
      <c r="I31" s="101"/>
      <c r="J31" s="101"/>
      <c r="K31" s="101"/>
      <c r="L31" s="101"/>
      <c r="M31" s="101"/>
    </row>
    <row r="32" spans="1:13">
      <c r="B32" s="170" t="s">
        <v>226</v>
      </c>
      <c r="D32" s="101"/>
      <c r="E32" s="101"/>
      <c r="F32" s="101"/>
      <c r="G32" s="101"/>
      <c r="H32" s="101"/>
      <c r="I32" s="101"/>
      <c r="J32" s="101"/>
      <c r="K32" s="101"/>
      <c r="L32" s="101"/>
      <c r="M32" s="101"/>
    </row>
    <row r="33" spans="2:13">
      <c r="B33" s="170" t="s">
        <v>227</v>
      </c>
      <c r="D33" s="101"/>
      <c r="E33" s="245">
        <f>E17*30%</f>
        <v>3061.8166686</v>
      </c>
      <c r="F33" s="101"/>
      <c r="G33" s="245">
        <f>G17*20%</f>
        <v>2313.9102918799999</v>
      </c>
      <c r="H33" s="245"/>
      <c r="I33" s="245">
        <f>H17*20%</f>
        <v>2616.5182442819114</v>
      </c>
      <c r="J33" s="245"/>
      <c r="K33" s="245">
        <f>I17*20%</f>
        <v>2957.1456986819112</v>
      </c>
      <c r="L33" s="101"/>
      <c r="M33" s="245">
        <f>J17*20%</f>
        <v>3337.9196471619116</v>
      </c>
    </row>
    <row r="34" spans="2:13">
      <c r="B34" s="152" t="s">
        <v>228</v>
      </c>
      <c r="D34" s="101"/>
      <c r="E34" s="624">
        <f>SUM(E32:E33)</f>
        <v>3061.8166686</v>
      </c>
      <c r="F34" s="623"/>
      <c r="G34" s="624">
        <f>SUM(G32:G33)</f>
        <v>2313.9102918799999</v>
      </c>
      <c r="H34" s="624"/>
      <c r="I34" s="624">
        <f>SUM(I32:I33)</f>
        <v>2616.5182442819114</v>
      </c>
      <c r="J34" s="624"/>
      <c r="K34" s="624">
        <f>SUM(K32:K33)</f>
        <v>2957.1456986819112</v>
      </c>
      <c r="L34" s="623"/>
      <c r="M34" s="624">
        <f>SUM(M32:M33)</f>
        <v>3337.9196471619116</v>
      </c>
    </row>
    <row r="35" spans="2:13">
      <c r="B35" s="152" t="s">
        <v>371</v>
      </c>
      <c r="D35" s="101"/>
      <c r="E35" s="624">
        <f>E30+E34</f>
        <v>10206.055562</v>
      </c>
      <c r="F35" s="101"/>
      <c r="G35" s="624">
        <f>G30+G34</f>
        <v>11569.5514594</v>
      </c>
      <c r="H35" s="624"/>
      <c r="I35" s="624">
        <f>I30+I34</f>
        <v>13082.591221409557</v>
      </c>
      <c r="J35" s="624"/>
      <c r="K35" s="624">
        <f>K30+K34</f>
        <v>14785.728493409555</v>
      </c>
      <c r="L35" s="101"/>
      <c r="M35" s="624">
        <f>M30+M34</f>
        <v>16689.598235809557</v>
      </c>
    </row>
    <row r="36" spans="2:13">
      <c r="B36" s="149" t="s">
        <v>229</v>
      </c>
      <c r="D36" s="101"/>
      <c r="E36" s="1292" t="s">
        <v>2279</v>
      </c>
      <c r="F36" s="101"/>
      <c r="G36" s="1292" t="s">
        <v>2278</v>
      </c>
      <c r="H36" s="625"/>
      <c r="I36" s="1292" t="s">
        <v>2278</v>
      </c>
      <c r="J36" s="625"/>
      <c r="K36" s="1292" t="s">
        <v>2278</v>
      </c>
      <c r="L36" s="101"/>
      <c r="M36" s="1292" t="s">
        <v>2278</v>
      </c>
    </row>
    <row r="37" spans="2:13">
      <c r="B37" s="171" t="s">
        <v>686</v>
      </c>
    </row>
    <row r="40" spans="2:13" ht="16.5">
      <c r="G40" s="1763" t="s">
        <v>401</v>
      </c>
      <c r="H40" s="1763"/>
      <c r="I40" s="1763"/>
      <c r="J40" s="1763"/>
      <c r="K40" s="1763"/>
      <c r="L40" s="1763"/>
      <c r="M40" s="1763"/>
    </row>
  </sheetData>
  <mergeCells count="20">
    <mergeCell ref="A18:M18"/>
    <mergeCell ref="A1:M1"/>
    <mergeCell ref="L3:M3"/>
    <mergeCell ref="L2:M2"/>
    <mergeCell ref="B4:B5"/>
    <mergeCell ref="A4:A5"/>
    <mergeCell ref="C4:C5"/>
    <mergeCell ref="D4:E4"/>
    <mergeCell ref="A2:G3"/>
    <mergeCell ref="F4:G4"/>
    <mergeCell ref="H4:J4"/>
    <mergeCell ref="B24:B25"/>
    <mergeCell ref="A20:M20"/>
    <mergeCell ref="A23:G23"/>
    <mergeCell ref="F24:G24"/>
    <mergeCell ref="G40:M40"/>
    <mergeCell ref="D24:E24"/>
    <mergeCell ref="H24:I24"/>
    <mergeCell ref="J24:K24"/>
    <mergeCell ref="L24:M24"/>
  </mergeCells>
  <pageMargins left="0.24" right="0.2" top="0.74803149606299213" bottom="0.74803149606299213" header="0.31496062992125984" footer="0.31496062992125984"/>
  <pageSetup paperSize="9" scale="5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A1:G122"/>
  <sheetViews>
    <sheetView showGridLines="0" view="pageBreakPreview" zoomScale="80" zoomScaleNormal="100" zoomScaleSheetLayoutView="80" workbookViewId="0">
      <selection activeCell="A5" sqref="A5"/>
    </sheetView>
  </sheetViews>
  <sheetFormatPr defaultColWidth="9.140625" defaultRowHeight="15"/>
  <cols>
    <col min="1" max="1" width="69.85546875" style="125" customWidth="1"/>
    <col min="2" max="2" width="23.7109375" style="125" customWidth="1"/>
    <col min="3" max="3" width="21.42578125" style="125" customWidth="1"/>
    <col min="4" max="5" width="13.5703125" style="125" bestFit="1" customWidth="1"/>
    <col min="6" max="6" width="15" style="125" bestFit="1" customWidth="1"/>
    <col min="7" max="16384" width="9.140625" style="69"/>
  </cols>
  <sheetData>
    <row r="1" spans="1:6" ht="21" customHeight="1">
      <c r="A1" s="189" t="str">
        <f>'F1'!A1</f>
        <v xml:space="preserve">BIHAR STATE POWER TRANSMISSION COMPANY LIMITED </v>
      </c>
      <c r="F1" s="190"/>
    </row>
    <row r="2" spans="1:6" ht="30">
      <c r="A2" s="606" t="s">
        <v>1569</v>
      </c>
      <c r="B2" s="1941" t="s">
        <v>857</v>
      </c>
      <c r="C2" s="1941"/>
      <c r="D2" s="1941"/>
      <c r="E2" s="1941"/>
      <c r="F2" s="1941"/>
    </row>
    <row r="3" spans="1:6" ht="27" customHeight="1">
      <c r="A3" s="1909" t="s">
        <v>48</v>
      </c>
      <c r="B3" s="1909" t="s">
        <v>168</v>
      </c>
      <c r="C3" s="1909" t="s">
        <v>169</v>
      </c>
      <c r="D3" s="1293"/>
      <c r="E3" s="1293"/>
      <c r="F3" s="69"/>
    </row>
    <row r="4" spans="1:6">
      <c r="A4" s="1909"/>
      <c r="B4" s="1909"/>
      <c r="C4" s="1909"/>
      <c r="D4" s="1293"/>
      <c r="E4" s="1293"/>
      <c r="F4" s="69"/>
    </row>
    <row r="5" spans="1:6" ht="24.75" customHeight="1">
      <c r="A5" s="182" t="s">
        <v>167</v>
      </c>
      <c r="B5" s="1909"/>
      <c r="C5" s="1909"/>
      <c r="D5" s="1293"/>
      <c r="E5" s="1293"/>
      <c r="F5" s="69"/>
    </row>
    <row r="6" spans="1:6">
      <c r="A6" s="182"/>
      <c r="B6" s="1909"/>
      <c r="C6" s="1909"/>
      <c r="D6" s="1293"/>
      <c r="E6" s="1293"/>
      <c r="F6" s="69"/>
    </row>
    <row r="7" spans="1:6" ht="48.75" customHeight="1">
      <c r="A7" s="181" t="s">
        <v>170</v>
      </c>
      <c r="B7" s="181" t="s">
        <v>171</v>
      </c>
      <c r="C7" s="181" t="s">
        <v>880</v>
      </c>
      <c r="D7" s="1294"/>
      <c r="E7" s="1294"/>
      <c r="F7" s="69"/>
    </row>
    <row r="8" spans="1:6" ht="34.5" customHeight="1">
      <c r="A8" s="181" t="s">
        <v>172</v>
      </c>
      <c r="B8" s="1923" t="s">
        <v>931</v>
      </c>
      <c r="C8" s="1924"/>
      <c r="D8" s="1924"/>
      <c r="E8" s="1924"/>
      <c r="F8" s="1925"/>
    </row>
    <row r="9" spans="1:6" ht="21" customHeight="1">
      <c r="A9" s="181"/>
      <c r="B9" s="1929"/>
      <c r="C9" s="1930"/>
      <c r="D9" s="1930"/>
      <c r="E9" s="1930"/>
      <c r="F9" s="1931"/>
    </row>
    <row r="10" spans="1:6" s="609" customFormat="1" ht="21" customHeight="1">
      <c r="A10" s="627"/>
      <c r="B10" s="630" t="s">
        <v>1108</v>
      </c>
      <c r="C10" s="844" t="s">
        <v>1173</v>
      </c>
      <c r="D10" s="844" t="s">
        <v>1841</v>
      </c>
      <c r="E10" s="844" t="s">
        <v>1842</v>
      </c>
      <c r="F10" s="844" t="s">
        <v>1843</v>
      </c>
    </row>
    <row r="11" spans="1:6" ht="32.25" customHeight="1">
      <c r="A11" s="1942" t="s">
        <v>173</v>
      </c>
      <c r="B11" s="1943"/>
      <c r="C11" s="1943"/>
      <c r="D11" s="1943"/>
      <c r="E11" s="1943"/>
      <c r="F11" s="1944"/>
    </row>
    <row r="12" spans="1:6" ht="29.25" customHeight="1">
      <c r="A12" s="181" t="s">
        <v>174</v>
      </c>
      <c r="B12" s="69"/>
      <c r="C12" s="609"/>
      <c r="D12" s="1245"/>
      <c r="E12" s="1245"/>
      <c r="F12" s="181"/>
    </row>
    <row r="13" spans="1:6" ht="21" customHeight="1">
      <c r="A13" s="181" t="s">
        <v>321</v>
      </c>
      <c r="B13" s="626">
        <f>'F7-1'!D17-B17</f>
        <v>10197.475562</v>
      </c>
      <c r="C13" s="626">
        <f>'F7-1'!H17-C17</f>
        <v>11517.5129794</v>
      </c>
      <c r="D13" s="626">
        <f>'F7-1'!I17-D17</f>
        <v>12999.222039604778</v>
      </c>
      <c r="E13" s="626">
        <f>'F7-1'!J17-E17</f>
        <v>14691.401221409555</v>
      </c>
      <c r="F13" s="626">
        <f>'F7-1'!K17-F17</f>
        <v>16581.368493409558</v>
      </c>
    </row>
    <row r="14" spans="1:6" ht="21" customHeight="1" thickBot="1">
      <c r="A14" s="183" t="s">
        <v>322</v>
      </c>
      <c r="B14" s="184">
        <f>SUM(B13:B13)</f>
        <v>10197.475562</v>
      </c>
      <c r="C14" s="184"/>
      <c r="D14" s="184"/>
      <c r="E14" s="184"/>
      <c r="F14" s="184">
        <f>SUM(F12:F13)</f>
        <v>16581.368493409558</v>
      </c>
    </row>
    <row r="15" spans="1:6" ht="21" customHeight="1">
      <c r="A15" s="1951" t="s">
        <v>175</v>
      </c>
      <c r="B15" s="1952"/>
      <c r="C15" s="1952"/>
      <c r="D15" s="1952"/>
      <c r="E15" s="1952"/>
      <c r="F15" s="1953"/>
    </row>
    <row r="16" spans="1:6" ht="30" customHeight="1">
      <c r="A16" s="181" t="s">
        <v>174</v>
      </c>
      <c r="B16" s="185"/>
      <c r="C16" s="185"/>
      <c r="D16" s="185"/>
      <c r="E16" s="185"/>
      <c r="F16" s="181"/>
    </row>
    <row r="17" spans="1:6" ht="21" customHeight="1">
      <c r="A17" s="181" t="s">
        <v>321</v>
      </c>
      <c r="B17" s="628">
        <f>'F5-8'!E11</f>
        <v>8.58</v>
      </c>
      <c r="C17" s="747">
        <f>'F5-8'!I11</f>
        <v>52.038480000000014</v>
      </c>
      <c r="D17" s="747">
        <f>'F5-8'!J11</f>
        <v>83.369181804778151</v>
      </c>
      <c r="E17" s="747">
        <f>'F5-8'!K11</f>
        <v>94.327271999999994</v>
      </c>
      <c r="F17" s="747">
        <f>'F5-8'!L11</f>
        <v>108.22974240000002</v>
      </c>
    </row>
    <row r="18" spans="1:6" ht="26.25" customHeight="1" thickBot="1">
      <c r="A18" s="186" t="s">
        <v>323</v>
      </c>
      <c r="B18" s="184">
        <f>SUM(B16:B17)</f>
        <v>8.58</v>
      </c>
      <c r="C18" s="184"/>
      <c r="D18" s="1296"/>
      <c r="E18" s="1296"/>
      <c r="F18" s="1296">
        <f>SUM(F16:F17)</f>
        <v>108.22974240000002</v>
      </c>
    </row>
    <row r="19" spans="1:6" ht="21" customHeight="1">
      <c r="A19" s="181" t="s">
        <v>603</v>
      </c>
      <c r="B19" s="181"/>
      <c r="C19" s="181"/>
      <c r="D19" s="1295"/>
      <c r="E19" s="1295"/>
      <c r="F19" s="1295"/>
    </row>
    <row r="20" spans="1:6" ht="21" customHeight="1">
      <c r="A20" s="1942" t="s">
        <v>176</v>
      </c>
      <c r="B20" s="1943"/>
      <c r="C20" s="1943"/>
      <c r="D20" s="1943"/>
      <c r="E20" s="1943"/>
      <c r="F20" s="1944"/>
    </row>
    <row r="21" spans="1:6" ht="30">
      <c r="A21" s="181" t="s">
        <v>174</v>
      </c>
      <c r="B21" s="181"/>
      <c r="C21" s="181"/>
      <c r="D21" s="181"/>
      <c r="E21" s="181"/>
      <c r="F21" s="181"/>
    </row>
    <row r="22" spans="1:6" ht="21" customHeight="1">
      <c r="A22" s="181" t="s">
        <v>321</v>
      </c>
      <c r="B22" s="181"/>
      <c r="C22" s="181"/>
      <c r="D22" s="181"/>
      <c r="E22" s="181"/>
      <c r="F22" s="181"/>
    </row>
    <row r="23" spans="1:6" ht="38.25" customHeight="1" thickBot="1">
      <c r="A23" s="187" t="s">
        <v>324</v>
      </c>
      <c r="B23" s="629">
        <f>B13+B17</f>
        <v>10206.055562</v>
      </c>
      <c r="C23" s="629">
        <f>C13+C17</f>
        <v>11569.5514594</v>
      </c>
      <c r="D23" s="629">
        <f t="shared" ref="D23:F23" si="0">D13+D17</f>
        <v>13082.591221409555</v>
      </c>
      <c r="E23" s="629">
        <f t="shared" si="0"/>
        <v>14785.728493409555</v>
      </c>
      <c r="F23" s="629">
        <f t="shared" si="0"/>
        <v>16689.598235809557</v>
      </c>
    </row>
    <row r="24" spans="1:6" ht="21" customHeight="1" thickTop="1">
      <c r="A24" s="1945"/>
      <c r="B24" s="1946"/>
      <c r="C24" s="1946"/>
      <c r="D24" s="1946"/>
      <c r="E24" s="1946"/>
      <c r="F24" s="1947"/>
    </row>
    <row r="25" spans="1:6" ht="21" customHeight="1">
      <c r="A25" s="1948" t="s">
        <v>177</v>
      </c>
      <c r="B25" s="1949"/>
      <c r="C25" s="1949"/>
      <c r="D25" s="1949"/>
      <c r="E25" s="1949"/>
      <c r="F25" s="1950"/>
    </row>
    <row r="26" spans="1:6" ht="21" customHeight="1">
      <c r="A26" s="181" t="s">
        <v>602</v>
      </c>
      <c r="B26" s="1923" t="s">
        <v>931</v>
      </c>
      <c r="C26" s="1924"/>
      <c r="D26" s="1924"/>
      <c r="E26" s="1924"/>
      <c r="F26" s="1925"/>
    </row>
    <row r="27" spans="1:6" ht="21" customHeight="1">
      <c r="A27" s="188" t="s">
        <v>178</v>
      </c>
      <c r="B27" s="1926"/>
      <c r="C27" s="1927"/>
      <c r="D27" s="1927"/>
      <c r="E27" s="1927"/>
      <c r="F27" s="1928"/>
    </row>
    <row r="28" spans="1:6" ht="21" customHeight="1">
      <c r="A28" s="188" t="s">
        <v>178</v>
      </c>
      <c r="B28" s="1926"/>
      <c r="C28" s="1927"/>
      <c r="D28" s="1927"/>
      <c r="E28" s="1927"/>
      <c r="F28" s="1928"/>
    </row>
    <row r="29" spans="1:6" ht="21" customHeight="1">
      <c r="A29" s="188" t="s">
        <v>179</v>
      </c>
      <c r="B29" s="1926"/>
      <c r="C29" s="1927"/>
      <c r="D29" s="1927"/>
      <c r="E29" s="1927"/>
      <c r="F29" s="1928"/>
    </row>
    <row r="30" spans="1:6" ht="21" customHeight="1">
      <c r="A30" s="181" t="s">
        <v>180</v>
      </c>
      <c r="B30" s="1926"/>
      <c r="C30" s="1927"/>
      <c r="D30" s="1927"/>
      <c r="E30" s="1927"/>
      <c r="F30" s="1928"/>
    </row>
    <row r="31" spans="1:6" ht="21" customHeight="1">
      <c r="A31" s="181"/>
      <c r="B31" s="1926"/>
      <c r="C31" s="1927"/>
      <c r="D31" s="1927"/>
      <c r="E31" s="1927"/>
      <c r="F31" s="1928"/>
    </row>
    <row r="32" spans="1:6" ht="21" customHeight="1">
      <c r="A32" s="181" t="s">
        <v>181</v>
      </c>
      <c r="B32" s="1926"/>
      <c r="C32" s="1927"/>
      <c r="D32" s="1927"/>
      <c r="E32" s="1927"/>
      <c r="F32" s="1928"/>
    </row>
    <row r="33" spans="1:7" ht="21" customHeight="1">
      <c r="A33" s="181" t="s">
        <v>182</v>
      </c>
      <c r="B33" s="1926"/>
      <c r="C33" s="1927"/>
      <c r="D33" s="1927"/>
      <c r="E33" s="1927"/>
      <c r="F33" s="1928"/>
    </row>
    <row r="34" spans="1:7" ht="51.75" customHeight="1">
      <c r="A34" s="182" t="s">
        <v>882</v>
      </c>
      <c r="B34" s="1926"/>
      <c r="C34" s="1927"/>
      <c r="D34" s="1927"/>
      <c r="E34" s="1927"/>
      <c r="F34" s="1928"/>
    </row>
    <row r="35" spans="1:7" ht="38.25" customHeight="1">
      <c r="A35" s="182" t="s">
        <v>881</v>
      </c>
      <c r="B35" s="1929"/>
      <c r="C35" s="1930"/>
      <c r="D35" s="1930"/>
      <c r="E35" s="1930"/>
      <c r="F35" s="1931"/>
    </row>
    <row r="36" spans="1:7" ht="21" customHeight="1">
      <c r="A36" s="174"/>
      <c r="B36" s="174"/>
      <c r="C36" s="174"/>
      <c r="D36" s="174"/>
      <c r="E36" s="174"/>
      <c r="F36" s="174"/>
    </row>
    <row r="37" spans="1:7" ht="21" customHeight="1">
      <c r="A37" s="174"/>
      <c r="B37" s="1936" t="s">
        <v>401</v>
      </c>
      <c r="C37" s="1936"/>
      <c r="D37" s="1936"/>
      <c r="E37" s="1936"/>
      <c r="F37" s="1936"/>
    </row>
    <row r="38" spans="1:7" ht="21" customHeight="1">
      <c r="A38" s="174"/>
    </row>
    <row r="39" spans="1:7" ht="21" hidden="1" customHeight="1">
      <c r="A39" s="174"/>
    </row>
    <row r="40" spans="1:7" ht="21" hidden="1" customHeight="1">
      <c r="A40" s="175"/>
      <c r="B40" s="175"/>
      <c r="C40" s="175"/>
      <c r="D40" s="175"/>
      <c r="E40" s="175"/>
      <c r="F40" s="175"/>
      <c r="G40" s="176"/>
    </row>
    <row r="41" spans="1:7" ht="21" hidden="1" customHeight="1">
      <c r="A41" s="177" t="s">
        <v>339</v>
      </c>
      <c r="B41" s="1932" t="s">
        <v>356</v>
      </c>
      <c r="C41" s="1933"/>
      <c r="D41" s="1933"/>
      <c r="E41" s="1933"/>
      <c r="F41" s="1934"/>
      <c r="G41" s="1935"/>
    </row>
    <row r="42" spans="1:7" ht="21" hidden="1" customHeight="1">
      <c r="A42" s="178" t="s">
        <v>343</v>
      </c>
      <c r="B42" s="1937">
        <v>18.3</v>
      </c>
      <c r="C42" s="1938"/>
      <c r="D42" s="1938"/>
      <c r="E42" s="1938"/>
      <c r="F42" s="1939"/>
      <c r="G42" s="1940"/>
    </row>
    <row r="43" spans="1:7" ht="21" hidden="1" customHeight="1">
      <c r="A43" s="178" t="s">
        <v>330</v>
      </c>
      <c r="B43" s="1932"/>
      <c r="C43" s="1933"/>
      <c r="D43" s="1933"/>
      <c r="E43" s="1933"/>
      <c r="F43" s="1934"/>
      <c r="G43" s="1935"/>
    </row>
    <row r="44" spans="1:7" ht="21" hidden="1" customHeight="1">
      <c r="A44" s="178" t="s">
        <v>331</v>
      </c>
      <c r="B44" s="1932"/>
      <c r="C44" s="1933"/>
      <c r="D44" s="1933"/>
      <c r="E44" s="1933"/>
      <c r="F44" s="1934"/>
      <c r="G44" s="1935"/>
    </row>
    <row r="45" spans="1:7" ht="21" hidden="1" customHeight="1">
      <c r="A45" s="178" t="s">
        <v>332</v>
      </c>
      <c r="B45" s="1932"/>
      <c r="C45" s="1933"/>
      <c r="D45" s="1933"/>
      <c r="E45" s="1933"/>
      <c r="F45" s="1934"/>
      <c r="G45" s="1935"/>
    </row>
    <row r="46" spans="1:7" ht="21" hidden="1" customHeight="1"/>
    <row r="47" spans="1:7" ht="21" hidden="1" customHeight="1"/>
    <row r="48" spans="1:7" ht="21" hidden="1" customHeight="1"/>
    <row r="49" ht="21" hidden="1" customHeight="1"/>
    <row r="50" ht="21" hidden="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sheetData>
  <mergeCells count="17">
    <mergeCell ref="B2:F2"/>
    <mergeCell ref="A20:F20"/>
    <mergeCell ref="A24:F24"/>
    <mergeCell ref="A25:F25"/>
    <mergeCell ref="A11:F11"/>
    <mergeCell ref="A15:F15"/>
    <mergeCell ref="A3:A4"/>
    <mergeCell ref="B3:B6"/>
    <mergeCell ref="C3:C6"/>
    <mergeCell ref="B8:F9"/>
    <mergeCell ref="B26:F35"/>
    <mergeCell ref="B43:G43"/>
    <mergeCell ref="B44:G44"/>
    <mergeCell ref="B45:G45"/>
    <mergeCell ref="B37:F37"/>
    <mergeCell ref="B41:G41"/>
    <mergeCell ref="B42:G42"/>
  </mergeCells>
  <phoneticPr fontId="205" type="noConversion"/>
  <printOptions horizontalCentered="1"/>
  <pageMargins left="0.22" right="0.32" top="0.74803149606299202" bottom="0.74803149606299202" header="0.31496062992126" footer="0.31496062992126"/>
  <pageSetup paperSize="9" scale="5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K149"/>
  <sheetViews>
    <sheetView view="pageBreakPreview" zoomScale="70" zoomScaleNormal="70" zoomScaleSheetLayoutView="70" workbookViewId="0">
      <selection activeCell="C15" sqref="C15"/>
    </sheetView>
  </sheetViews>
  <sheetFormatPr defaultColWidth="16.140625" defaultRowHeight="15"/>
  <cols>
    <col min="1" max="1" width="3.140625" style="280" customWidth="1"/>
    <col min="2" max="2" width="4.7109375" style="280" customWidth="1"/>
    <col min="3" max="3" width="83.5703125" style="1524" customWidth="1"/>
    <col min="4" max="4" width="18.5703125" style="372" customWidth="1"/>
    <col min="5" max="5" width="16.140625" style="280"/>
    <col min="6" max="6" width="16.140625" style="372"/>
    <col min="7" max="7" width="16.140625" style="280"/>
    <col min="8" max="8" width="29" style="280" customWidth="1"/>
    <col min="9" max="9" width="59.140625" style="280" customWidth="1"/>
    <col min="10" max="10" width="16.140625" style="280"/>
    <col min="11" max="11" width="21.140625" style="280" customWidth="1"/>
    <col min="12" max="16384" width="16.140625" style="280"/>
  </cols>
  <sheetData>
    <row r="1" spans="2:11" s="1525" customFormat="1" ht="30">
      <c r="B1" s="608" t="s">
        <v>2452</v>
      </c>
      <c r="C1" s="608" t="s">
        <v>2453</v>
      </c>
      <c r="D1" s="608" t="s">
        <v>2454</v>
      </c>
      <c r="E1" s="608" t="s">
        <v>188</v>
      </c>
      <c r="F1" s="608" t="s">
        <v>2455</v>
      </c>
      <c r="G1" s="608" t="s">
        <v>2456</v>
      </c>
      <c r="H1" s="608" t="s">
        <v>2457</v>
      </c>
      <c r="I1" s="608" t="s">
        <v>2458</v>
      </c>
      <c r="J1" s="608" t="s">
        <v>2459</v>
      </c>
      <c r="K1" s="608" t="s">
        <v>2460</v>
      </c>
    </row>
    <row r="2" spans="2:11">
      <c r="B2" s="1515">
        <v>1</v>
      </c>
      <c r="C2" s="1516" t="s">
        <v>2461</v>
      </c>
      <c r="D2" s="1515" t="s">
        <v>2462</v>
      </c>
      <c r="E2" s="1515" t="s">
        <v>997</v>
      </c>
      <c r="F2" s="1517">
        <v>76.569999999999993</v>
      </c>
      <c r="G2" s="1518">
        <v>42083</v>
      </c>
      <c r="H2" s="1518">
        <v>42541</v>
      </c>
      <c r="I2" s="1515" t="s">
        <v>2463</v>
      </c>
      <c r="J2" s="1517">
        <v>105.4</v>
      </c>
      <c r="K2" s="1515" t="s">
        <v>1018</v>
      </c>
    </row>
    <row r="3" spans="2:11">
      <c r="B3" s="1515">
        <f>B2+1</f>
        <v>2</v>
      </c>
      <c r="C3" s="1516" t="s">
        <v>2464</v>
      </c>
      <c r="D3" s="1515" t="s">
        <v>976</v>
      </c>
      <c r="E3" s="1954" t="s">
        <v>997</v>
      </c>
      <c r="F3" s="1957">
        <v>79.239999999999995</v>
      </c>
      <c r="G3" s="1954" t="s">
        <v>997</v>
      </c>
      <c r="H3" s="1956">
        <v>42449</v>
      </c>
      <c r="I3" s="1515" t="s">
        <v>2465</v>
      </c>
      <c r="J3" s="1957">
        <v>81.69</v>
      </c>
      <c r="K3" s="1515" t="s">
        <v>1018</v>
      </c>
    </row>
    <row r="4" spans="2:11">
      <c r="B4" s="1624">
        <f>B3+1</f>
        <v>3</v>
      </c>
      <c r="C4" s="1516" t="s">
        <v>2466</v>
      </c>
      <c r="D4" s="1515" t="s">
        <v>976</v>
      </c>
      <c r="E4" s="1954"/>
      <c r="F4" s="1957"/>
      <c r="G4" s="1954"/>
      <c r="H4" s="1956"/>
      <c r="I4" s="1515" t="s">
        <v>2467</v>
      </c>
      <c r="J4" s="1957"/>
      <c r="K4" s="1515" t="s">
        <v>1018</v>
      </c>
    </row>
    <row r="5" spans="2:11" ht="30">
      <c r="B5" s="1632">
        <f t="shared" ref="B5:B68" si="0">B4+1</f>
        <v>4</v>
      </c>
      <c r="C5" s="1516" t="s">
        <v>2468</v>
      </c>
      <c r="D5" s="1515" t="s">
        <v>976</v>
      </c>
      <c r="E5" s="1954"/>
      <c r="F5" s="1957"/>
      <c r="G5" s="1954"/>
      <c r="H5" s="1956"/>
      <c r="I5" s="1515" t="s">
        <v>2469</v>
      </c>
      <c r="J5" s="1957"/>
      <c r="K5" s="1515" t="s">
        <v>1018</v>
      </c>
    </row>
    <row r="6" spans="2:11" ht="30">
      <c r="B6" s="1632">
        <f t="shared" si="0"/>
        <v>5</v>
      </c>
      <c r="C6" s="1516" t="s">
        <v>2470</v>
      </c>
      <c r="D6" s="1515" t="s">
        <v>976</v>
      </c>
      <c r="E6" s="1954"/>
      <c r="F6" s="1957"/>
      <c r="G6" s="1954"/>
      <c r="H6" s="1956"/>
      <c r="I6" s="1515" t="s">
        <v>2471</v>
      </c>
      <c r="J6" s="1957"/>
      <c r="K6" s="1515" t="s">
        <v>1018</v>
      </c>
    </row>
    <row r="7" spans="2:11" ht="30">
      <c r="B7" s="1632">
        <f t="shared" si="0"/>
        <v>6</v>
      </c>
      <c r="C7" s="1516" t="s">
        <v>2472</v>
      </c>
      <c r="D7" s="1515" t="s">
        <v>976</v>
      </c>
      <c r="E7" s="1954" t="s">
        <v>998</v>
      </c>
      <c r="F7" s="1955">
        <v>41.3</v>
      </c>
      <c r="G7" s="1956">
        <v>42078</v>
      </c>
      <c r="H7" s="1956">
        <v>42444</v>
      </c>
      <c r="I7" s="1515" t="s">
        <v>2473</v>
      </c>
      <c r="J7" s="1955">
        <v>44.21</v>
      </c>
      <c r="K7" s="1515" t="s">
        <v>1018</v>
      </c>
    </row>
    <row r="8" spans="2:11" ht="30">
      <c r="B8" s="1632">
        <f t="shared" si="0"/>
        <v>7</v>
      </c>
      <c r="C8" s="1516" t="s">
        <v>2474</v>
      </c>
      <c r="D8" s="1515" t="s">
        <v>976</v>
      </c>
      <c r="E8" s="1954"/>
      <c r="F8" s="1955"/>
      <c r="G8" s="1956"/>
      <c r="H8" s="1956"/>
      <c r="I8" s="1515" t="s">
        <v>2475</v>
      </c>
      <c r="J8" s="1955"/>
      <c r="K8" s="1515" t="s">
        <v>1018</v>
      </c>
    </row>
    <row r="9" spans="2:11" ht="30">
      <c r="B9" s="1632">
        <f t="shared" si="0"/>
        <v>8</v>
      </c>
      <c r="C9" s="1516" t="s">
        <v>2476</v>
      </c>
      <c r="D9" s="1515" t="s">
        <v>976</v>
      </c>
      <c r="E9" s="1954"/>
      <c r="F9" s="1955"/>
      <c r="G9" s="1956"/>
      <c r="H9" s="1956"/>
      <c r="I9" s="1515" t="s">
        <v>2477</v>
      </c>
      <c r="J9" s="1955"/>
      <c r="K9" s="1515" t="s">
        <v>1018</v>
      </c>
    </row>
    <row r="10" spans="2:11" ht="30">
      <c r="B10" s="1632">
        <f t="shared" si="0"/>
        <v>9</v>
      </c>
      <c r="C10" s="1516" t="s">
        <v>2478</v>
      </c>
      <c r="D10" s="1515" t="s">
        <v>976</v>
      </c>
      <c r="E10" s="1515" t="s">
        <v>999</v>
      </c>
      <c r="F10" s="1519">
        <v>23.51</v>
      </c>
      <c r="G10" s="1520">
        <v>42403</v>
      </c>
      <c r="H10" s="1518">
        <v>42769</v>
      </c>
      <c r="I10" s="1515" t="s">
        <v>2479</v>
      </c>
      <c r="J10" s="1517">
        <v>25.53</v>
      </c>
      <c r="K10" s="1515" t="s">
        <v>1018</v>
      </c>
    </row>
    <row r="11" spans="2:11" ht="60">
      <c r="B11" s="1632">
        <f t="shared" si="0"/>
        <v>10</v>
      </c>
      <c r="C11" s="1516" t="s">
        <v>2480</v>
      </c>
      <c r="D11" s="1515" t="s">
        <v>2462</v>
      </c>
      <c r="E11" s="1515" t="s">
        <v>1000</v>
      </c>
      <c r="F11" s="1517">
        <v>10.65</v>
      </c>
      <c r="G11" s="1520">
        <v>42045</v>
      </c>
      <c r="H11" s="1518">
        <v>42225</v>
      </c>
      <c r="I11" s="1515" t="s">
        <v>2481</v>
      </c>
      <c r="J11" s="1519">
        <v>15.21</v>
      </c>
      <c r="K11" s="1515" t="s">
        <v>1018</v>
      </c>
    </row>
    <row r="12" spans="2:11" ht="45">
      <c r="B12" s="1632">
        <f t="shared" si="0"/>
        <v>11</v>
      </c>
      <c r="C12" s="1516" t="s">
        <v>2736</v>
      </c>
      <c r="D12" s="1630" t="s">
        <v>976</v>
      </c>
      <c r="E12" s="1631" t="s">
        <v>1013</v>
      </c>
      <c r="F12" s="1626"/>
      <c r="G12" s="1631" t="s">
        <v>1013</v>
      </c>
      <c r="H12" s="1631" t="s">
        <v>2737</v>
      </c>
      <c r="I12" s="1631" t="s">
        <v>2494</v>
      </c>
      <c r="J12" s="1625">
        <v>43.08</v>
      </c>
      <c r="K12" s="1624" t="s">
        <v>1018</v>
      </c>
    </row>
    <row r="13" spans="2:11" ht="60">
      <c r="B13" s="1632">
        <f t="shared" si="0"/>
        <v>12</v>
      </c>
      <c r="C13" s="1516" t="s">
        <v>2482</v>
      </c>
      <c r="D13" s="1515" t="s">
        <v>976</v>
      </c>
      <c r="E13" s="1515" t="s">
        <v>1001</v>
      </c>
      <c r="F13" s="1517">
        <v>73.239999999999995</v>
      </c>
      <c r="G13" s="1521">
        <v>42046</v>
      </c>
      <c r="H13" s="1515" t="s">
        <v>2483</v>
      </c>
      <c r="I13" s="1515" t="s">
        <v>2484</v>
      </c>
      <c r="J13" s="1519">
        <v>78.88</v>
      </c>
      <c r="K13" s="1515" t="s">
        <v>1018</v>
      </c>
    </row>
    <row r="14" spans="2:11" ht="45">
      <c r="B14" s="1632">
        <f t="shared" si="0"/>
        <v>13</v>
      </c>
      <c r="C14" s="1516" t="s">
        <v>970</v>
      </c>
      <c r="D14" s="1515" t="s">
        <v>976</v>
      </c>
      <c r="E14" s="1515" t="s">
        <v>985</v>
      </c>
      <c r="F14" s="1519">
        <v>80.599999999999994</v>
      </c>
      <c r="G14" s="1521">
        <v>42084</v>
      </c>
      <c r="H14" s="1521">
        <v>42449</v>
      </c>
      <c r="I14" s="1521" t="s">
        <v>2485</v>
      </c>
      <c r="J14" s="1519">
        <v>63.84</v>
      </c>
      <c r="K14" s="1515" t="s">
        <v>1018</v>
      </c>
    </row>
    <row r="15" spans="2:11" ht="60">
      <c r="B15" s="1632">
        <f t="shared" si="0"/>
        <v>14</v>
      </c>
      <c r="C15" s="1516" t="s">
        <v>971</v>
      </c>
      <c r="D15" s="1515" t="s">
        <v>976</v>
      </c>
      <c r="E15" s="1515" t="s">
        <v>1002</v>
      </c>
      <c r="F15" s="1519">
        <v>91.91</v>
      </c>
      <c r="G15" s="1521">
        <v>42228</v>
      </c>
      <c r="H15" s="1521">
        <v>42593</v>
      </c>
      <c r="I15" s="1515" t="s">
        <v>2486</v>
      </c>
      <c r="J15" s="1519">
        <v>105.07</v>
      </c>
      <c r="K15" s="1515" t="s">
        <v>1018</v>
      </c>
    </row>
    <row r="16" spans="2:11" ht="30">
      <c r="B16" s="1632">
        <f t="shared" si="0"/>
        <v>15</v>
      </c>
      <c r="C16" s="1516" t="s">
        <v>2487</v>
      </c>
      <c r="D16" s="1515" t="s">
        <v>976</v>
      </c>
      <c r="E16" s="1515" t="s">
        <v>987</v>
      </c>
      <c r="F16" s="1519">
        <v>26.19</v>
      </c>
      <c r="G16" s="1521">
        <v>42431</v>
      </c>
      <c r="H16" s="1521">
        <v>42796</v>
      </c>
      <c r="I16" s="1515" t="s">
        <v>2488</v>
      </c>
      <c r="J16" s="1519">
        <v>30.97</v>
      </c>
      <c r="K16" s="1515" t="s">
        <v>1018</v>
      </c>
    </row>
    <row r="17" spans="2:11" ht="30">
      <c r="B17" s="1632">
        <f t="shared" si="0"/>
        <v>16</v>
      </c>
      <c r="C17" s="1516" t="s">
        <v>2489</v>
      </c>
      <c r="D17" s="1515" t="s">
        <v>976</v>
      </c>
      <c r="E17" s="1515" t="s">
        <v>1008</v>
      </c>
      <c r="F17" s="1519">
        <v>26.49</v>
      </c>
      <c r="G17" s="1521">
        <v>42432</v>
      </c>
      <c r="H17" s="1521">
        <v>42797</v>
      </c>
      <c r="I17" s="1515" t="s">
        <v>2490</v>
      </c>
      <c r="J17" s="1519">
        <v>26.49</v>
      </c>
      <c r="K17" s="1515" t="s">
        <v>1018</v>
      </c>
    </row>
    <row r="18" spans="2:11" ht="30">
      <c r="B18" s="1632">
        <f t="shared" si="0"/>
        <v>17</v>
      </c>
      <c r="C18" s="1516" t="s">
        <v>2491</v>
      </c>
      <c r="D18" s="1515" t="s">
        <v>976</v>
      </c>
      <c r="E18" s="1515" t="s">
        <v>2492</v>
      </c>
      <c r="F18" s="1519">
        <v>61.57</v>
      </c>
      <c r="G18" s="1515" t="s">
        <v>2492</v>
      </c>
      <c r="H18" s="1515" t="s">
        <v>2493</v>
      </c>
      <c r="I18" s="1515" t="s">
        <v>2494</v>
      </c>
      <c r="J18" s="1519">
        <v>67.17</v>
      </c>
      <c r="K18" s="1515" t="s">
        <v>1018</v>
      </c>
    </row>
    <row r="19" spans="2:11" ht="45">
      <c r="B19" s="1632">
        <f t="shared" si="0"/>
        <v>18</v>
      </c>
      <c r="C19" s="1516" t="s">
        <v>2739</v>
      </c>
      <c r="D19" s="1515" t="s">
        <v>976</v>
      </c>
      <c r="E19" s="1515" t="s">
        <v>1009</v>
      </c>
      <c r="F19" s="1519">
        <v>16.690000000000001</v>
      </c>
      <c r="G19" s="1521">
        <v>42431</v>
      </c>
      <c r="H19" s="1521">
        <v>42706</v>
      </c>
      <c r="I19" s="1515" t="s">
        <v>2494</v>
      </c>
      <c r="J19" s="1519">
        <v>16.690000000000001</v>
      </c>
      <c r="K19" s="1515" t="s">
        <v>1018</v>
      </c>
    </row>
    <row r="20" spans="2:11" ht="30">
      <c r="B20" s="1632">
        <f t="shared" si="0"/>
        <v>19</v>
      </c>
      <c r="C20" s="1516" t="s">
        <v>2495</v>
      </c>
      <c r="D20" s="1515" t="s">
        <v>2462</v>
      </c>
      <c r="E20" s="1515" t="s">
        <v>1015</v>
      </c>
      <c r="F20" s="1519">
        <v>8.5399999999999991</v>
      </c>
      <c r="G20" s="1521">
        <v>41683</v>
      </c>
      <c r="H20" s="1521">
        <v>42047</v>
      </c>
      <c r="I20" s="1515" t="s">
        <v>2496</v>
      </c>
      <c r="J20" s="1519">
        <v>8.5399999999999991</v>
      </c>
      <c r="K20" s="1515" t="s">
        <v>1018</v>
      </c>
    </row>
    <row r="21" spans="2:11" ht="30">
      <c r="B21" s="1632">
        <f t="shared" si="0"/>
        <v>20</v>
      </c>
      <c r="C21" s="1516" t="s">
        <v>2497</v>
      </c>
      <c r="D21" s="1515" t="s">
        <v>2462</v>
      </c>
      <c r="E21" s="1515" t="s">
        <v>1015</v>
      </c>
      <c r="F21" s="1519">
        <v>18.690000000000001</v>
      </c>
      <c r="G21" s="1521">
        <v>41683</v>
      </c>
      <c r="H21" s="1521">
        <v>42047</v>
      </c>
      <c r="I21" s="1515" t="s">
        <v>2496</v>
      </c>
      <c r="J21" s="1519">
        <v>18.829999999999998</v>
      </c>
      <c r="K21" s="1515" t="s">
        <v>1018</v>
      </c>
    </row>
    <row r="22" spans="2:11" ht="30">
      <c r="B22" s="1632">
        <f t="shared" si="0"/>
        <v>21</v>
      </c>
      <c r="C22" s="1516" t="s">
        <v>2498</v>
      </c>
      <c r="D22" s="1515" t="s">
        <v>2462</v>
      </c>
      <c r="E22" s="1515" t="s">
        <v>1015</v>
      </c>
      <c r="F22" s="1519">
        <v>27.42</v>
      </c>
      <c r="G22" s="1521">
        <v>41683</v>
      </c>
      <c r="H22" s="1521">
        <v>42445</v>
      </c>
      <c r="I22" s="1515" t="s">
        <v>966</v>
      </c>
      <c r="J22" s="1519">
        <v>28.16</v>
      </c>
      <c r="K22" s="1515" t="s">
        <v>1018</v>
      </c>
    </row>
    <row r="23" spans="2:11" ht="45">
      <c r="B23" s="1632">
        <f t="shared" si="0"/>
        <v>22</v>
      </c>
      <c r="C23" s="1516" t="s">
        <v>2499</v>
      </c>
      <c r="D23" s="1515" t="s">
        <v>2462</v>
      </c>
      <c r="E23" s="1515" t="s">
        <v>1015</v>
      </c>
      <c r="F23" s="1519">
        <v>7.02</v>
      </c>
      <c r="G23" s="1521">
        <v>41683</v>
      </c>
      <c r="H23" s="1521">
        <v>42405</v>
      </c>
      <c r="I23" s="1515" t="s">
        <v>2500</v>
      </c>
      <c r="J23" s="1519">
        <v>7.02</v>
      </c>
      <c r="K23" s="1515" t="s">
        <v>1018</v>
      </c>
    </row>
    <row r="24" spans="2:11" ht="105">
      <c r="B24" s="1632">
        <f t="shared" si="0"/>
        <v>23</v>
      </c>
      <c r="C24" s="1516" t="s">
        <v>2501</v>
      </c>
      <c r="D24" s="1515" t="s">
        <v>976</v>
      </c>
      <c r="E24" s="1515" t="s">
        <v>1016</v>
      </c>
      <c r="F24" s="1519">
        <v>48.16</v>
      </c>
      <c r="G24" s="1521">
        <v>42075</v>
      </c>
      <c r="H24" s="1521">
        <v>42417</v>
      </c>
      <c r="I24" s="1515" t="s">
        <v>2502</v>
      </c>
      <c r="J24" s="1519">
        <v>48.16</v>
      </c>
      <c r="K24" s="1515" t="s">
        <v>1018</v>
      </c>
    </row>
    <row r="25" spans="2:11" ht="45">
      <c r="B25" s="1632">
        <f t="shared" si="0"/>
        <v>24</v>
      </c>
      <c r="C25" s="1516" t="s">
        <v>2503</v>
      </c>
      <c r="D25" s="1515" t="s">
        <v>2462</v>
      </c>
      <c r="E25" s="1515" t="s">
        <v>1010</v>
      </c>
      <c r="F25" s="1519">
        <v>85.26</v>
      </c>
      <c r="G25" s="1521">
        <v>42010</v>
      </c>
      <c r="H25" s="1521">
        <v>42465</v>
      </c>
      <c r="I25" s="1515" t="s">
        <v>2504</v>
      </c>
      <c r="J25" s="1519">
        <v>114.7</v>
      </c>
      <c r="K25" s="1515" t="s">
        <v>1018</v>
      </c>
    </row>
    <row r="26" spans="2:11" ht="60">
      <c r="B26" s="1632">
        <f t="shared" si="0"/>
        <v>25</v>
      </c>
      <c r="C26" s="1516" t="s">
        <v>2505</v>
      </c>
      <c r="D26" s="1515" t="s">
        <v>2462</v>
      </c>
      <c r="E26" s="1515"/>
      <c r="F26" s="1519">
        <v>17.489999999999998</v>
      </c>
      <c r="G26" s="1515"/>
      <c r="H26" s="1515"/>
      <c r="I26" s="1515" t="s">
        <v>2506</v>
      </c>
      <c r="J26" s="1519">
        <v>25.92</v>
      </c>
      <c r="K26" s="1515" t="s">
        <v>1018</v>
      </c>
    </row>
    <row r="27" spans="2:11" ht="30">
      <c r="B27" s="1632">
        <f t="shared" si="0"/>
        <v>26</v>
      </c>
      <c r="C27" s="1516" t="s">
        <v>2507</v>
      </c>
      <c r="D27" s="1515" t="s">
        <v>2462</v>
      </c>
      <c r="E27" s="1515" t="s">
        <v>1011</v>
      </c>
      <c r="F27" s="1519">
        <v>10.8</v>
      </c>
      <c r="G27" s="1521">
        <v>42044</v>
      </c>
      <c r="H27" s="1521">
        <v>42408</v>
      </c>
      <c r="I27" s="1515" t="s">
        <v>2508</v>
      </c>
      <c r="J27" s="1519">
        <v>12.67</v>
      </c>
      <c r="K27" s="1515" t="s">
        <v>1018</v>
      </c>
    </row>
    <row r="28" spans="2:11" ht="30">
      <c r="B28" s="1632">
        <f t="shared" si="0"/>
        <v>27</v>
      </c>
      <c r="C28" s="1516" t="s">
        <v>2509</v>
      </c>
      <c r="D28" s="1515" t="s">
        <v>2462</v>
      </c>
      <c r="E28" s="1515" t="s">
        <v>985</v>
      </c>
      <c r="F28" s="1519">
        <v>110.8</v>
      </c>
      <c r="G28" s="1521">
        <v>42084</v>
      </c>
      <c r="H28" s="1521">
        <v>42449</v>
      </c>
      <c r="I28" s="1515" t="s">
        <v>2510</v>
      </c>
      <c r="J28" s="1519">
        <v>129.79</v>
      </c>
      <c r="K28" s="1515" t="s">
        <v>1018</v>
      </c>
    </row>
    <row r="29" spans="2:11" ht="30">
      <c r="B29" s="1632">
        <f t="shared" si="0"/>
        <v>28</v>
      </c>
      <c r="C29" s="1516" t="s">
        <v>2511</v>
      </c>
      <c r="D29" s="1515" t="s">
        <v>2462</v>
      </c>
      <c r="E29" s="1515" t="s">
        <v>985</v>
      </c>
      <c r="F29" s="1519">
        <v>94.6</v>
      </c>
      <c r="G29" s="1521">
        <v>42084</v>
      </c>
      <c r="H29" s="1521">
        <v>42449</v>
      </c>
      <c r="I29" s="1515" t="s">
        <v>967</v>
      </c>
      <c r="J29" s="1519">
        <v>104.01</v>
      </c>
      <c r="K29" s="1515" t="s">
        <v>1018</v>
      </c>
    </row>
    <row r="30" spans="2:11" ht="30">
      <c r="B30" s="1632">
        <f t="shared" si="0"/>
        <v>29</v>
      </c>
      <c r="C30" s="1516" t="s">
        <v>2512</v>
      </c>
      <c r="D30" s="1515" t="s">
        <v>2513</v>
      </c>
      <c r="E30" s="1515" t="s">
        <v>1012</v>
      </c>
      <c r="F30" s="1519">
        <v>97.2</v>
      </c>
      <c r="G30" s="1521">
        <v>42241</v>
      </c>
      <c r="H30" s="1521">
        <v>42698</v>
      </c>
      <c r="I30" s="1515" t="s">
        <v>2514</v>
      </c>
      <c r="J30" s="1519">
        <v>122.36</v>
      </c>
      <c r="K30" s="1515" t="s">
        <v>1018</v>
      </c>
    </row>
    <row r="31" spans="2:11" ht="45">
      <c r="B31" s="1632">
        <f t="shared" si="0"/>
        <v>30</v>
      </c>
      <c r="C31" s="1516" t="s">
        <v>2515</v>
      </c>
      <c r="D31" s="1515" t="s">
        <v>2462</v>
      </c>
      <c r="E31" s="1515" t="s">
        <v>1013</v>
      </c>
      <c r="F31" s="1519">
        <v>29.37</v>
      </c>
      <c r="G31" s="1521">
        <v>42229</v>
      </c>
      <c r="H31" s="1521">
        <v>42594</v>
      </c>
      <c r="I31" s="1515" t="s">
        <v>2516</v>
      </c>
      <c r="J31" s="1519">
        <v>35.24</v>
      </c>
      <c r="K31" s="1515" t="s">
        <v>1018</v>
      </c>
    </row>
    <row r="32" spans="2:11" ht="30">
      <c r="B32" s="1632">
        <f t="shared" si="0"/>
        <v>31</v>
      </c>
      <c r="C32" s="1516" t="s">
        <v>2517</v>
      </c>
      <c r="D32" s="1515" t="s">
        <v>976</v>
      </c>
      <c r="E32" s="1515" t="s">
        <v>1003</v>
      </c>
      <c r="F32" s="1519">
        <v>32.299999999999997</v>
      </c>
      <c r="G32" s="1521">
        <v>43105</v>
      </c>
      <c r="H32" s="1521">
        <v>43104</v>
      </c>
      <c r="I32" s="1515" t="s">
        <v>2518</v>
      </c>
      <c r="J32" s="1519">
        <v>32.299999999999997</v>
      </c>
      <c r="K32" s="1515" t="s">
        <v>1018</v>
      </c>
    </row>
    <row r="33" spans="2:11" ht="30">
      <c r="B33" s="1632">
        <f t="shared" si="0"/>
        <v>32</v>
      </c>
      <c r="C33" s="1516" t="s">
        <v>2519</v>
      </c>
      <c r="D33" s="1515" t="s">
        <v>976</v>
      </c>
      <c r="E33" s="1515" t="s">
        <v>1014</v>
      </c>
      <c r="F33" s="1519">
        <v>14.94</v>
      </c>
      <c r="G33" s="1521">
        <v>43087</v>
      </c>
      <c r="H33" s="1521">
        <v>43451</v>
      </c>
      <c r="I33" s="1515" t="s">
        <v>2520</v>
      </c>
      <c r="J33" s="1519">
        <v>15.28</v>
      </c>
      <c r="K33" s="1515" t="s">
        <v>1018</v>
      </c>
    </row>
    <row r="34" spans="2:11" ht="45">
      <c r="B34" s="1632">
        <f t="shared" si="0"/>
        <v>33</v>
      </c>
      <c r="C34" s="1516" t="s">
        <v>2521</v>
      </c>
      <c r="D34" s="1515" t="s">
        <v>2522</v>
      </c>
      <c r="E34" s="1515" t="s">
        <v>1004</v>
      </c>
      <c r="F34" s="1519">
        <v>10.42</v>
      </c>
      <c r="G34" s="1521">
        <v>43080</v>
      </c>
      <c r="H34" s="1521">
        <v>43404</v>
      </c>
      <c r="I34" s="1515"/>
      <c r="J34" s="1519">
        <v>12.42</v>
      </c>
      <c r="K34" s="1515" t="s">
        <v>1018</v>
      </c>
    </row>
    <row r="35" spans="2:11" ht="45">
      <c r="B35" s="1632">
        <f t="shared" si="0"/>
        <v>34</v>
      </c>
      <c r="C35" s="1516" t="s">
        <v>2523</v>
      </c>
      <c r="D35" s="1515" t="s">
        <v>2524</v>
      </c>
      <c r="E35" s="1515" t="s">
        <v>987</v>
      </c>
      <c r="F35" s="1519">
        <v>11.41</v>
      </c>
      <c r="G35" s="1521">
        <v>42431</v>
      </c>
      <c r="H35" s="1521">
        <v>42614</v>
      </c>
      <c r="I35" s="1515"/>
      <c r="J35" s="1519">
        <v>16.760000000000002</v>
      </c>
      <c r="K35" s="1515" t="s">
        <v>1018</v>
      </c>
    </row>
    <row r="36" spans="2:11" ht="45">
      <c r="B36" s="1632">
        <f t="shared" si="0"/>
        <v>35</v>
      </c>
      <c r="C36" s="1516" t="s">
        <v>2525</v>
      </c>
      <c r="D36" s="1515" t="s">
        <v>2462</v>
      </c>
      <c r="E36" s="1515" t="s">
        <v>1005</v>
      </c>
      <c r="F36" s="1519">
        <v>7.02</v>
      </c>
      <c r="G36" s="1521">
        <v>42165</v>
      </c>
      <c r="H36" s="1521">
        <v>42530</v>
      </c>
      <c r="I36" s="1515" t="s">
        <v>2526</v>
      </c>
      <c r="J36" s="1519">
        <v>7.02</v>
      </c>
      <c r="K36" s="1515" t="s">
        <v>1018</v>
      </c>
    </row>
    <row r="37" spans="2:11" ht="105">
      <c r="B37" s="1632">
        <f t="shared" si="0"/>
        <v>36</v>
      </c>
      <c r="C37" s="1516" t="s">
        <v>2527</v>
      </c>
      <c r="D37" s="1515" t="s">
        <v>976</v>
      </c>
      <c r="E37" s="1515" t="s">
        <v>985</v>
      </c>
      <c r="F37" s="1519">
        <v>28.46</v>
      </c>
      <c r="G37" s="1521">
        <v>42084</v>
      </c>
      <c r="H37" s="1521">
        <v>42643</v>
      </c>
      <c r="I37" s="1515"/>
      <c r="J37" s="1519">
        <v>39.28</v>
      </c>
      <c r="K37" s="1515" t="s">
        <v>1018</v>
      </c>
    </row>
    <row r="38" spans="2:11" ht="60">
      <c r="B38" s="1632">
        <f t="shared" si="0"/>
        <v>37</v>
      </c>
      <c r="C38" s="1516" t="s">
        <v>2528</v>
      </c>
      <c r="D38" s="1515" t="s">
        <v>976</v>
      </c>
      <c r="E38" s="1515" t="s">
        <v>985</v>
      </c>
      <c r="F38" s="1519">
        <v>55.51</v>
      </c>
      <c r="G38" s="1521">
        <v>42084</v>
      </c>
      <c r="H38" s="1521">
        <v>42449</v>
      </c>
      <c r="I38" s="1515"/>
      <c r="J38" s="1519">
        <v>58.1</v>
      </c>
      <c r="K38" s="1515" t="s">
        <v>1018</v>
      </c>
    </row>
    <row r="39" spans="2:11" ht="30">
      <c r="B39" s="1632">
        <f t="shared" si="0"/>
        <v>38</v>
      </c>
      <c r="C39" s="1516" t="s">
        <v>2529</v>
      </c>
      <c r="D39" s="1515" t="s">
        <v>2462</v>
      </c>
      <c r="E39" s="1515" t="s">
        <v>1007</v>
      </c>
      <c r="F39" s="1519">
        <v>73.95</v>
      </c>
      <c r="G39" s="1521">
        <v>42035</v>
      </c>
      <c r="H39" s="1521">
        <v>42525</v>
      </c>
      <c r="I39" s="1515" t="s">
        <v>2530</v>
      </c>
      <c r="J39" s="1519">
        <v>85.07</v>
      </c>
      <c r="K39" s="1515" t="s">
        <v>1018</v>
      </c>
    </row>
    <row r="40" spans="2:11" ht="30">
      <c r="B40" s="1632">
        <f t="shared" si="0"/>
        <v>39</v>
      </c>
      <c r="C40" s="1516" t="s">
        <v>2531</v>
      </c>
      <c r="D40" s="1515" t="s">
        <v>2462</v>
      </c>
      <c r="E40" s="1515" t="s">
        <v>2532</v>
      </c>
      <c r="F40" s="1519">
        <v>148.21</v>
      </c>
      <c r="G40" s="1521">
        <v>41817</v>
      </c>
      <c r="H40" s="1521">
        <v>42273</v>
      </c>
      <c r="I40" s="1515">
        <v>0</v>
      </c>
      <c r="J40" s="1519">
        <v>193.14</v>
      </c>
      <c r="K40" s="1515" t="s">
        <v>1018</v>
      </c>
    </row>
    <row r="41" spans="2:11" ht="60">
      <c r="B41" s="1632">
        <f t="shared" si="0"/>
        <v>40</v>
      </c>
      <c r="C41" s="1516" t="s">
        <v>2533</v>
      </c>
      <c r="D41" s="1515" t="s">
        <v>2462</v>
      </c>
      <c r="E41" s="1515" t="s">
        <v>985</v>
      </c>
      <c r="F41" s="1519">
        <v>126.24</v>
      </c>
      <c r="G41" s="1521">
        <v>42084</v>
      </c>
      <c r="H41" s="1521">
        <v>42541</v>
      </c>
      <c r="I41" s="1515" t="s">
        <v>2530</v>
      </c>
      <c r="J41" s="1519">
        <v>106.38</v>
      </c>
      <c r="K41" s="1515" t="s">
        <v>1018</v>
      </c>
    </row>
    <row r="42" spans="2:11" ht="30">
      <c r="B42" s="1632">
        <f t="shared" si="0"/>
        <v>41</v>
      </c>
      <c r="C42" s="1516" t="s">
        <v>2534</v>
      </c>
      <c r="D42" s="1515" t="s">
        <v>2462</v>
      </c>
      <c r="E42" s="1515" t="s">
        <v>1017</v>
      </c>
      <c r="F42" s="1519">
        <v>88.72</v>
      </c>
      <c r="G42" s="1521">
        <v>42033</v>
      </c>
      <c r="H42" s="1521">
        <v>42436</v>
      </c>
      <c r="I42" s="1515" t="s">
        <v>2530</v>
      </c>
      <c r="J42" s="1519">
        <v>123.09</v>
      </c>
      <c r="K42" s="1515" t="s">
        <v>1018</v>
      </c>
    </row>
    <row r="43" spans="2:11">
      <c r="B43" s="1632">
        <f t="shared" si="0"/>
        <v>42</v>
      </c>
      <c r="C43" s="1522" t="s">
        <v>2535</v>
      </c>
      <c r="D43" s="1515" t="s">
        <v>2462</v>
      </c>
      <c r="E43" s="1515"/>
      <c r="F43" s="1515"/>
      <c r="G43" s="1521"/>
      <c r="H43" s="1521"/>
      <c r="I43" s="1515"/>
      <c r="J43" s="1515"/>
      <c r="K43" s="1515" t="s">
        <v>1018</v>
      </c>
    </row>
    <row r="44" spans="2:11" ht="30">
      <c r="B44" s="1632">
        <f t="shared" si="0"/>
        <v>43</v>
      </c>
      <c r="C44" s="1522" t="s">
        <v>2536</v>
      </c>
      <c r="D44" s="1515" t="s">
        <v>2462</v>
      </c>
      <c r="E44" s="1515" t="s">
        <v>2537</v>
      </c>
      <c r="F44" s="1519">
        <v>69.540000000000006</v>
      </c>
      <c r="G44" s="1521">
        <v>42051</v>
      </c>
      <c r="H44" s="1521">
        <v>42325</v>
      </c>
      <c r="I44" s="1515">
        <v>0</v>
      </c>
      <c r="J44" s="1519">
        <v>77.59</v>
      </c>
      <c r="K44" s="1515" t="s">
        <v>1018</v>
      </c>
    </row>
    <row r="45" spans="2:11">
      <c r="B45" s="1632">
        <f t="shared" si="0"/>
        <v>44</v>
      </c>
      <c r="C45" s="1516" t="s">
        <v>2721</v>
      </c>
      <c r="D45" s="1515" t="s">
        <v>2462</v>
      </c>
      <c r="E45" s="1515" t="s">
        <v>985</v>
      </c>
      <c r="F45" s="1519">
        <v>60.31</v>
      </c>
      <c r="G45" s="1521">
        <v>42084</v>
      </c>
      <c r="H45" s="1521">
        <v>42558</v>
      </c>
      <c r="I45" s="1515">
        <v>0</v>
      </c>
      <c r="J45" s="1519">
        <v>67.02</v>
      </c>
      <c r="K45" s="1515" t="s">
        <v>1018</v>
      </c>
    </row>
    <row r="46" spans="2:11" ht="30">
      <c r="B46" s="1632">
        <f t="shared" si="0"/>
        <v>45</v>
      </c>
      <c r="C46" s="1516" t="s">
        <v>2538</v>
      </c>
      <c r="D46" s="1515" t="s">
        <v>976</v>
      </c>
      <c r="E46" s="1515" t="s">
        <v>1001</v>
      </c>
      <c r="F46" s="1519">
        <v>54.4</v>
      </c>
      <c r="G46" s="1521">
        <v>42046</v>
      </c>
      <c r="H46" s="1521">
        <v>42411</v>
      </c>
      <c r="I46" s="1515" t="s">
        <v>2494</v>
      </c>
      <c r="J46" s="1519">
        <v>57.63</v>
      </c>
      <c r="K46" s="1515" t="s">
        <v>1018</v>
      </c>
    </row>
    <row r="47" spans="2:11" ht="45">
      <c r="B47" s="1632">
        <f t="shared" si="0"/>
        <v>46</v>
      </c>
      <c r="C47" s="1516" t="s">
        <v>2539</v>
      </c>
      <c r="D47" s="1515" t="s">
        <v>976</v>
      </c>
      <c r="E47" s="1515" t="s">
        <v>1002</v>
      </c>
      <c r="F47" s="1519">
        <v>86.97</v>
      </c>
      <c r="G47" s="1521">
        <v>42228</v>
      </c>
      <c r="H47" s="1521">
        <v>42594</v>
      </c>
      <c r="I47" s="1515" t="s">
        <v>2540</v>
      </c>
      <c r="J47" s="1519">
        <v>97.45</v>
      </c>
      <c r="K47" s="1515" t="s">
        <v>1018</v>
      </c>
    </row>
    <row r="48" spans="2:11" ht="135">
      <c r="B48" s="1632">
        <f t="shared" si="0"/>
        <v>47</v>
      </c>
      <c r="C48" s="1516" t="s">
        <v>2722</v>
      </c>
      <c r="D48" s="1515" t="s">
        <v>2462</v>
      </c>
      <c r="E48" s="1515" t="s">
        <v>2541</v>
      </c>
      <c r="F48" s="1519">
        <v>84.46</v>
      </c>
      <c r="G48" s="1521" t="s">
        <v>2541</v>
      </c>
      <c r="H48" s="1521">
        <v>42307</v>
      </c>
      <c r="I48" s="1515" t="s">
        <v>2542</v>
      </c>
      <c r="J48" s="1519">
        <v>89.51</v>
      </c>
      <c r="K48" s="1515" t="s">
        <v>1018</v>
      </c>
    </row>
    <row r="49" spans="2:11" ht="30">
      <c r="B49" s="1632">
        <f t="shared" si="0"/>
        <v>48</v>
      </c>
      <c r="C49" s="1516" t="s">
        <v>2543</v>
      </c>
      <c r="D49" s="1515" t="s">
        <v>916</v>
      </c>
      <c r="E49" s="1515" t="s">
        <v>983</v>
      </c>
      <c r="F49" s="1519">
        <v>48.13</v>
      </c>
      <c r="G49" s="1521">
        <v>42674</v>
      </c>
      <c r="H49" s="1521">
        <v>42766</v>
      </c>
      <c r="I49" s="1515" t="s">
        <v>2544</v>
      </c>
      <c r="J49" s="1519">
        <v>48.65</v>
      </c>
      <c r="K49" s="1515" t="s">
        <v>1018</v>
      </c>
    </row>
    <row r="50" spans="2:11" ht="45">
      <c r="B50" s="1632">
        <f t="shared" si="0"/>
        <v>49</v>
      </c>
      <c r="C50" s="1516" t="s">
        <v>2545</v>
      </c>
      <c r="D50" s="1515" t="s">
        <v>916</v>
      </c>
      <c r="E50" s="1515" t="s">
        <v>984</v>
      </c>
      <c r="F50" s="1519">
        <v>28.28</v>
      </c>
      <c r="G50" s="1521">
        <v>42672</v>
      </c>
      <c r="H50" s="1521">
        <v>43036</v>
      </c>
      <c r="I50" s="1515" t="s">
        <v>2494</v>
      </c>
      <c r="J50" s="1519">
        <v>34.57</v>
      </c>
      <c r="K50" s="1515" t="s">
        <v>1018</v>
      </c>
    </row>
    <row r="51" spans="2:11" ht="45">
      <c r="B51" s="1632">
        <f t="shared" si="0"/>
        <v>50</v>
      </c>
      <c r="C51" s="1516" t="s">
        <v>2546</v>
      </c>
      <c r="D51" s="1515" t="s">
        <v>916</v>
      </c>
      <c r="E51" s="1515" t="s">
        <v>983</v>
      </c>
      <c r="F51" s="1519">
        <v>59.09</v>
      </c>
      <c r="G51" s="1521">
        <v>42674</v>
      </c>
      <c r="H51" s="1521">
        <v>42766</v>
      </c>
      <c r="I51" s="1515" t="s">
        <v>2494</v>
      </c>
      <c r="J51" s="1519">
        <v>76.95</v>
      </c>
      <c r="K51" s="1515" t="s">
        <v>1018</v>
      </c>
    </row>
    <row r="52" spans="2:11" ht="45">
      <c r="B52" s="1632">
        <f t="shared" si="0"/>
        <v>51</v>
      </c>
      <c r="C52" s="1516" t="s">
        <v>2547</v>
      </c>
      <c r="D52" s="1515" t="s">
        <v>916</v>
      </c>
      <c r="E52" s="1515" t="s">
        <v>984</v>
      </c>
      <c r="F52" s="1519">
        <v>25.2</v>
      </c>
      <c r="G52" s="1521">
        <v>42672</v>
      </c>
      <c r="H52" s="1521">
        <v>42671</v>
      </c>
      <c r="I52" s="1515" t="s">
        <v>2548</v>
      </c>
      <c r="J52" s="1519">
        <v>35.65</v>
      </c>
      <c r="K52" s="1515" t="s">
        <v>1018</v>
      </c>
    </row>
    <row r="53" spans="2:11" ht="60">
      <c r="B53" s="1632">
        <f t="shared" si="0"/>
        <v>52</v>
      </c>
      <c r="C53" s="1516" t="s">
        <v>2549</v>
      </c>
      <c r="D53" s="1515" t="s">
        <v>976</v>
      </c>
      <c r="E53" s="1515" t="s">
        <v>980</v>
      </c>
      <c r="F53" s="1519">
        <v>72.03</v>
      </c>
      <c r="G53" s="1521">
        <v>41669</v>
      </c>
      <c r="H53" s="1521">
        <v>42033</v>
      </c>
      <c r="I53" s="1515" t="s">
        <v>2550</v>
      </c>
      <c r="J53" s="1519">
        <v>72.03</v>
      </c>
      <c r="K53" s="1515" t="s">
        <v>1018</v>
      </c>
    </row>
    <row r="54" spans="2:11" ht="60">
      <c r="B54" s="1632">
        <f t="shared" si="0"/>
        <v>53</v>
      </c>
      <c r="C54" s="1516" t="s">
        <v>2551</v>
      </c>
      <c r="D54" s="1515" t="s">
        <v>2552</v>
      </c>
      <c r="E54" s="1515" t="s">
        <v>981</v>
      </c>
      <c r="F54" s="1519">
        <v>69.66</v>
      </c>
      <c r="G54" s="1521">
        <v>42461</v>
      </c>
      <c r="H54" s="1521">
        <v>42460</v>
      </c>
      <c r="I54" s="1515" t="s">
        <v>2553</v>
      </c>
      <c r="J54" s="1519">
        <v>65.67</v>
      </c>
      <c r="K54" s="1515" t="s">
        <v>1018</v>
      </c>
    </row>
    <row r="55" spans="2:11" ht="90">
      <c r="B55" s="1632">
        <f t="shared" si="0"/>
        <v>54</v>
      </c>
      <c r="C55" s="1516" t="s">
        <v>2554</v>
      </c>
      <c r="D55" s="1515" t="s">
        <v>976</v>
      </c>
      <c r="E55" s="1515" t="s">
        <v>987</v>
      </c>
      <c r="F55" s="1519">
        <v>20.34</v>
      </c>
      <c r="G55" s="1521">
        <v>42431</v>
      </c>
      <c r="H55" s="1521">
        <v>42705</v>
      </c>
      <c r="I55" s="1515" t="s">
        <v>2555</v>
      </c>
      <c r="J55" s="1519">
        <v>20.34</v>
      </c>
      <c r="K55" s="1515" t="s">
        <v>1018</v>
      </c>
    </row>
    <row r="56" spans="2:11" ht="45">
      <c r="B56" s="1632">
        <f t="shared" si="0"/>
        <v>55</v>
      </c>
      <c r="C56" s="1516" t="s">
        <v>2738</v>
      </c>
      <c r="D56" s="1515" t="s">
        <v>976</v>
      </c>
      <c r="E56" s="1515" t="s">
        <v>987</v>
      </c>
      <c r="F56" s="1519">
        <v>12.59</v>
      </c>
      <c r="G56" s="1521">
        <v>42431</v>
      </c>
      <c r="H56" s="1521">
        <v>42614</v>
      </c>
      <c r="I56" s="1523">
        <v>44013</v>
      </c>
      <c r="J56" s="1519">
        <v>12.59</v>
      </c>
      <c r="K56" s="1515" t="s">
        <v>1018</v>
      </c>
    </row>
    <row r="57" spans="2:11" ht="60">
      <c r="B57" s="1632">
        <f t="shared" si="0"/>
        <v>56</v>
      </c>
      <c r="C57" s="1516" t="s">
        <v>2556</v>
      </c>
      <c r="D57" s="1515" t="s">
        <v>976</v>
      </c>
      <c r="E57" s="1515" t="s">
        <v>992</v>
      </c>
      <c r="F57" s="1519">
        <v>9.74</v>
      </c>
      <c r="G57" s="1521">
        <v>42821</v>
      </c>
      <c r="H57" s="1521">
        <v>43004</v>
      </c>
      <c r="I57" s="1515">
        <v>0</v>
      </c>
      <c r="J57" s="1519">
        <v>9.74</v>
      </c>
      <c r="K57" s="1515" t="s">
        <v>1018</v>
      </c>
    </row>
    <row r="58" spans="2:11" ht="45">
      <c r="B58" s="1632">
        <f t="shared" si="0"/>
        <v>57</v>
      </c>
      <c r="C58" s="1516" t="s">
        <v>2557</v>
      </c>
      <c r="D58" s="1515" t="s">
        <v>2462</v>
      </c>
      <c r="E58" s="1515" t="s">
        <v>993</v>
      </c>
      <c r="F58" s="1519">
        <v>20.83</v>
      </c>
      <c r="G58" s="1521">
        <v>42072</v>
      </c>
      <c r="H58" s="1521">
        <v>42346</v>
      </c>
      <c r="I58" s="1515" t="s">
        <v>2558</v>
      </c>
      <c r="J58" s="1519">
        <v>24.34</v>
      </c>
      <c r="K58" s="1515" t="s">
        <v>1018</v>
      </c>
    </row>
    <row r="59" spans="2:11" ht="105">
      <c r="B59" s="1632">
        <f t="shared" si="0"/>
        <v>58</v>
      </c>
      <c r="C59" s="1516" t="s">
        <v>2559</v>
      </c>
      <c r="D59" s="1515" t="s">
        <v>976</v>
      </c>
      <c r="E59" s="1515" t="s">
        <v>987</v>
      </c>
      <c r="F59" s="1519">
        <v>7.41</v>
      </c>
      <c r="G59" s="1521">
        <v>42431</v>
      </c>
      <c r="H59" s="1521">
        <v>42705</v>
      </c>
      <c r="I59" s="1523">
        <v>43466</v>
      </c>
      <c r="J59" s="1519">
        <v>7.93</v>
      </c>
      <c r="K59" s="1515" t="s">
        <v>1018</v>
      </c>
    </row>
    <row r="60" spans="2:11" ht="45">
      <c r="B60" s="1632">
        <f t="shared" si="0"/>
        <v>59</v>
      </c>
      <c r="C60" s="1516" t="s">
        <v>2560</v>
      </c>
      <c r="D60" s="1515" t="s">
        <v>976</v>
      </c>
      <c r="E60" s="1515" t="s">
        <v>994</v>
      </c>
      <c r="F60" s="1519">
        <v>64.959999999999994</v>
      </c>
      <c r="G60" s="1521">
        <v>42404</v>
      </c>
      <c r="H60" s="1521">
        <v>42769</v>
      </c>
      <c r="I60" s="1523">
        <v>43709</v>
      </c>
      <c r="J60" s="1519">
        <v>65.37</v>
      </c>
      <c r="K60" s="1515" t="s">
        <v>1018</v>
      </c>
    </row>
    <row r="61" spans="2:11" ht="45">
      <c r="B61" s="1632">
        <f t="shared" si="0"/>
        <v>60</v>
      </c>
      <c r="C61" s="1516" t="s">
        <v>2561</v>
      </c>
      <c r="D61" s="1515" t="s">
        <v>916</v>
      </c>
      <c r="E61" s="1515" t="s">
        <v>984</v>
      </c>
      <c r="F61" s="1519">
        <v>18.91</v>
      </c>
      <c r="G61" s="1521">
        <v>42672</v>
      </c>
      <c r="H61" s="1521">
        <v>43036</v>
      </c>
      <c r="I61" s="1515"/>
      <c r="J61" s="1519">
        <v>23.38</v>
      </c>
      <c r="K61" s="1515" t="s">
        <v>1018</v>
      </c>
    </row>
    <row r="62" spans="2:11" ht="30">
      <c r="B62" s="1632">
        <f t="shared" si="0"/>
        <v>61</v>
      </c>
      <c r="C62" s="1516" t="s">
        <v>2723</v>
      </c>
      <c r="D62" s="1515" t="s">
        <v>916</v>
      </c>
      <c r="E62" s="1515" t="s">
        <v>983</v>
      </c>
      <c r="F62" s="1519">
        <v>44</v>
      </c>
      <c r="G62" s="1521">
        <v>42674</v>
      </c>
      <c r="H62" s="1521">
        <v>43131</v>
      </c>
      <c r="I62" s="1515"/>
      <c r="J62" s="1519">
        <v>44.39</v>
      </c>
      <c r="K62" s="1515" t="s">
        <v>1018</v>
      </c>
    </row>
    <row r="63" spans="2:11" ht="30">
      <c r="B63" s="1632">
        <f t="shared" si="0"/>
        <v>62</v>
      </c>
      <c r="C63" s="1516" t="s">
        <v>2724</v>
      </c>
      <c r="D63" s="1515" t="s">
        <v>916</v>
      </c>
      <c r="E63" s="1515" t="s">
        <v>983</v>
      </c>
      <c r="F63" s="1519">
        <v>40.86</v>
      </c>
      <c r="G63" s="1521">
        <v>42674</v>
      </c>
      <c r="H63" s="1521">
        <v>43131</v>
      </c>
      <c r="I63" s="1515"/>
      <c r="J63" s="1519">
        <v>41.32</v>
      </c>
      <c r="K63" s="1515" t="s">
        <v>1018</v>
      </c>
    </row>
    <row r="64" spans="2:11" ht="90">
      <c r="B64" s="1632">
        <f t="shared" si="0"/>
        <v>63</v>
      </c>
      <c r="C64" s="1516" t="s">
        <v>2725</v>
      </c>
      <c r="D64" s="1515" t="s">
        <v>976</v>
      </c>
      <c r="E64" s="1515" t="s">
        <v>990</v>
      </c>
      <c r="F64" s="1519">
        <v>56.17</v>
      </c>
      <c r="G64" s="1521">
        <v>42368</v>
      </c>
      <c r="H64" s="1521">
        <v>42734</v>
      </c>
      <c r="I64" s="1515"/>
      <c r="J64" s="1519">
        <v>36.909999999999997</v>
      </c>
      <c r="K64" s="1515" t="s">
        <v>1018</v>
      </c>
    </row>
    <row r="65" spans="2:11">
      <c r="B65" s="1632">
        <f t="shared" si="0"/>
        <v>64</v>
      </c>
      <c r="C65" s="1516" t="s">
        <v>2726</v>
      </c>
      <c r="D65" s="1515" t="s">
        <v>976</v>
      </c>
      <c r="E65" s="1515" t="s">
        <v>988</v>
      </c>
      <c r="F65" s="1519">
        <v>31.69</v>
      </c>
      <c r="G65" s="1521">
        <v>43143</v>
      </c>
      <c r="H65" s="1521">
        <v>43507</v>
      </c>
      <c r="I65" s="1515" t="s">
        <v>2562</v>
      </c>
      <c r="J65" s="1519">
        <v>31.69</v>
      </c>
      <c r="K65" s="1515" t="s">
        <v>1018</v>
      </c>
    </row>
    <row r="66" spans="2:11">
      <c r="B66" s="1632">
        <f t="shared" si="0"/>
        <v>65</v>
      </c>
      <c r="C66" s="1516" t="s">
        <v>2727</v>
      </c>
      <c r="D66" s="1515" t="s">
        <v>916</v>
      </c>
      <c r="E66" s="1515" t="s">
        <v>989</v>
      </c>
      <c r="F66" s="1519">
        <v>58.23</v>
      </c>
      <c r="G66" s="1521">
        <v>41082</v>
      </c>
      <c r="H66" s="1521">
        <v>41629</v>
      </c>
      <c r="I66" s="1515"/>
      <c r="J66" s="1519">
        <v>81.09</v>
      </c>
      <c r="K66" s="1515" t="s">
        <v>1018</v>
      </c>
    </row>
    <row r="67" spans="2:11">
      <c r="B67" s="1632">
        <f t="shared" si="0"/>
        <v>66</v>
      </c>
      <c r="C67" s="1516" t="s">
        <v>2563</v>
      </c>
      <c r="D67" s="1515" t="s">
        <v>916</v>
      </c>
      <c r="E67" s="1515" t="s">
        <v>989</v>
      </c>
      <c r="F67" s="1519">
        <v>41.52</v>
      </c>
      <c r="G67" s="1521">
        <v>41082</v>
      </c>
      <c r="H67" s="1521">
        <v>41629</v>
      </c>
      <c r="I67" s="1515"/>
      <c r="J67" s="1519">
        <v>41.52</v>
      </c>
      <c r="K67" s="1515" t="s">
        <v>1018</v>
      </c>
    </row>
    <row r="68" spans="2:11" ht="30">
      <c r="B68" s="1632">
        <f t="shared" si="0"/>
        <v>67</v>
      </c>
      <c r="C68" s="1516" t="s">
        <v>2728</v>
      </c>
      <c r="D68" s="1515" t="s">
        <v>916</v>
      </c>
      <c r="E68" s="1515" t="s">
        <v>983</v>
      </c>
      <c r="F68" s="1519">
        <v>33.020000000000003</v>
      </c>
      <c r="G68" s="1521">
        <v>42674</v>
      </c>
      <c r="H68" s="1521">
        <v>43038</v>
      </c>
      <c r="I68" s="1515" t="s">
        <v>2564</v>
      </c>
      <c r="J68" s="1519">
        <v>46.84</v>
      </c>
      <c r="K68" s="1515" t="s">
        <v>1018</v>
      </c>
    </row>
    <row r="69" spans="2:11" ht="30">
      <c r="B69" s="1632">
        <f t="shared" ref="B69:B132" si="1">B68+1</f>
        <v>68</v>
      </c>
      <c r="C69" s="1516" t="s">
        <v>2565</v>
      </c>
      <c r="D69" s="1515" t="s">
        <v>916</v>
      </c>
      <c r="E69" s="1515" t="s">
        <v>983</v>
      </c>
      <c r="F69" s="1519">
        <v>66.790000000000006</v>
      </c>
      <c r="G69" s="1521">
        <v>42674</v>
      </c>
      <c r="H69" s="1521">
        <v>43130</v>
      </c>
      <c r="I69" s="1515" t="s">
        <v>2564</v>
      </c>
      <c r="J69" s="1519">
        <v>75.459999999999994</v>
      </c>
      <c r="K69" s="1515" t="s">
        <v>1018</v>
      </c>
    </row>
    <row r="70" spans="2:11">
      <c r="B70" s="1632">
        <f t="shared" si="1"/>
        <v>69</v>
      </c>
      <c r="C70" s="1516" t="s">
        <v>2566</v>
      </c>
      <c r="D70" s="1515" t="s">
        <v>916</v>
      </c>
      <c r="E70" s="1515" t="s">
        <v>983</v>
      </c>
      <c r="F70" s="1519">
        <v>35.450000000000003</v>
      </c>
      <c r="G70" s="1521">
        <v>42674</v>
      </c>
      <c r="H70" s="1521">
        <v>43130</v>
      </c>
      <c r="I70" s="1515"/>
      <c r="J70" s="1519">
        <v>35.549999999999997</v>
      </c>
      <c r="K70" s="1515" t="s">
        <v>1018</v>
      </c>
    </row>
    <row r="71" spans="2:11" ht="30">
      <c r="B71" s="1632">
        <f t="shared" si="1"/>
        <v>70</v>
      </c>
      <c r="C71" s="1516" t="s">
        <v>2567</v>
      </c>
      <c r="D71" s="1515" t="s">
        <v>916</v>
      </c>
      <c r="E71" s="1515" t="s">
        <v>991</v>
      </c>
      <c r="F71" s="1519">
        <v>21.5</v>
      </c>
      <c r="G71" s="1521">
        <v>43238</v>
      </c>
      <c r="H71" s="1521">
        <v>43602</v>
      </c>
      <c r="I71" s="1515" t="s">
        <v>2568</v>
      </c>
      <c r="J71" s="1519">
        <v>21.5</v>
      </c>
      <c r="K71" s="1515" t="s">
        <v>1018</v>
      </c>
    </row>
    <row r="72" spans="2:11" ht="45">
      <c r="B72" s="1632">
        <f t="shared" si="1"/>
        <v>71</v>
      </c>
      <c r="C72" s="1516" t="s">
        <v>2569</v>
      </c>
      <c r="D72" s="1515" t="s">
        <v>976</v>
      </c>
      <c r="E72" s="1515" t="s">
        <v>996</v>
      </c>
      <c r="F72" s="1519">
        <v>8.86</v>
      </c>
      <c r="G72" s="1521">
        <v>42612</v>
      </c>
      <c r="H72" s="1521">
        <v>42977</v>
      </c>
      <c r="I72" s="1515" t="s">
        <v>2568</v>
      </c>
      <c r="J72" s="1519">
        <v>9.14</v>
      </c>
      <c r="K72" s="1515" t="s">
        <v>1018</v>
      </c>
    </row>
    <row r="73" spans="2:11" ht="45">
      <c r="B73" s="1632">
        <f t="shared" si="1"/>
        <v>72</v>
      </c>
      <c r="C73" s="1516" t="s">
        <v>2570</v>
      </c>
      <c r="D73" s="1515" t="s">
        <v>976</v>
      </c>
      <c r="E73" s="1515" t="s">
        <v>996</v>
      </c>
      <c r="F73" s="1519">
        <v>11.62</v>
      </c>
      <c r="G73" s="1521">
        <v>42612</v>
      </c>
      <c r="H73" s="1521">
        <v>42977</v>
      </c>
      <c r="I73" s="1523">
        <v>43586</v>
      </c>
      <c r="J73" s="1519">
        <v>10.25</v>
      </c>
      <c r="K73" s="1515" t="s">
        <v>1018</v>
      </c>
    </row>
    <row r="74" spans="2:11" ht="45">
      <c r="B74" s="1632">
        <f t="shared" si="1"/>
        <v>73</v>
      </c>
      <c r="C74" s="1516" t="s">
        <v>2571</v>
      </c>
      <c r="D74" s="1515" t="s">
        <v>976</v>
      </c>
      <c r="E74" s="1515" t="s">
        <v>2572</v>
      </c>
      <c r="F74" s="1519">
        <v>70</v>
      </c>
      <c r="G74" s="1521">
        <v>43243</v>
      </c>
      <c r="H74" s="1521">
        <v>43066</v>
      </c>
      <c r="I74" s="1515" t="s">
        <v>2573</v>
      </c>
      <c r="J74" s="1519">
        <v>70</v>
      </c>
      <c r="K74" s="1515" t="s">
        <v>1018</v>
      </c>
    </row>
    <row r="75" spans="2:11">
      <c r="B75" s="1632">
        <f t="shared" si="1"/>
        <v>74</v>
      </c>
      <c r="C75" s="1516" t="s">
        <v>2729</v>
      </c>
      <c r="D75" s="1515" t="s">
        <v>976</v>
      </c>
      <c r="E75" s="1515" t="s">
        <v>981</v>
      </c>
      <c r="F75" s="1519">
        <v>52.29</v>
      </c>
      <c r="G75" s="1521">
        <v>42369</v>
      </c>
      <c r="H75" s="1521">
        <v>42734</v>
      </c>
      <c r="I75" s="1515" t="s">
        <v>2568</v>
      </c>
      <c r="J75" s="1519">
        <v>54.25</v>
      </c>
      <c r="K75" s="1515" t="s">
        <v>1018</v>
      </c>
    </row>
    <row r="76" spans="2:11" ht="60">
      <c r="B76" s="1632">
        <f t="shared" si="1"/>
        <v>75</v>
      </c>
      <c r="C76" s="1516" t="s">
        <v>2574</v>
      </c>
      <c r="D76" s="1515" t="s">
        <v>976</v>
      </c>
      <c r="E76" s="1515" t="s">
        <v>990</v>
      </c>
      <c r="F76" s="1519">
        <v>63.1</v>
      </c>
      <c r="G76" s="1521">
        <v>42368</v>
      </c>
      <c r="H76" s="1521">
        <v>42734</v>
      </c>
      <c r="I76" s="1515">
        <v>0</v>
      </c>
      <c r="J76" s="1519">
        <v>69.55</v>
      </c>
      <c r="K76" s="1515" t="s">
        <v>1018</v>
      </c>
    </row>
    <row r="77" spans="2:11" ht="30">
      <c r="B77" s="1632">
        <f t="shared" si="1"/>
        <v>76</v>
      </c>
      <c r="C77" s="1516" t="s">
        <v>2730</v>
      </c>
      <c r="D77" s="1515" t="s">
        <v>2462</v>
      </c>
      <c r="E77" s="1515" t="s">
        <v>985</v>
      </c>
      <c r="F77" s="1519">
        <v>15.9</v>
      </c>
      <c r="G77" s="1521">
        <v>42084</v>
      </c>
      <c r="H77" s="1521">
        <v>42449</v>
      </c>
      <c r="I77" s="1515" t="s">
        <v>2568</v>
      </c>
      <c r="J77" s="1519">
        <v>15.9</v>
      </c>
      <c r="K77" s="1515" t="s">
        <v>1018</v>
      </c>
    </row>
    <row r="78" spans="2:11">
      <c r="B78" s="1632">
        <f t="shared" si="1"/>
        <v>77</v>
      </c>
      <c r="C78" s="1516" t="s">
        <v>2731</v>
      </c>
      <c r="D78" s="1515" t="s">
        <v>2462</v>
      </c>
      <c r="E78" s="1515" t="s">
        <v>985</v>
      </c>
      <c r="F78" s="1519">
        <v>21.16</v>
      </c>
      <c r="G78" s="1521">
        <v>42084</v>
      </c>
      <c r="H78" s="1521">
        <v>42449</v>
      </c>
      <c r="I78" s="1515" t="s">
        <v>2477</v>
      </c>
      <c r="J78" s="1519">
        <v>21.07</v>
      </c>
      <c r="K78" s="1515" t="s">
        <v>1018</v>
      </c>
    </row>
    <row r="79" spans="2:11" ht="30">
      <c r="B79" s="1632">
        <f t="shared" si="1"/>
        <v>78</v>
      </c>
      <c r="C79" s="1516" t="s">
        <v>2732</v>
      </c>
      <c r="D79" s="1515" t="s">
        <v>976</v>
      </c>
      <c r="E79" s="1515" t="s">
        <v>979</v>
      </c>
      <c r="F79" s="1519">
        <v>107.62</v>
      </c>
      <c r="G79" s="1518">
        <v>42825</v>
      </c>
      <c r="H79" s="1518">
        <v>43434</v>
      </c>
      <c r="I79" s="1515" t="s">
        <v>2575</v>
      </c>
      <c r="J79" s="1519">
        <v>106.5</v>
      </c>
      <c r="K79" s="1515" t="s">
        <v>1018</v>
      </c>
    </row>
    <row r="80" spans="2:11" ht="30">
      <c r="B80" s="1632">
        <f t="shared" si="1"/>
        <v>79</v>
      </c>
      <c r="C80" s="1516" t="s">
        <v>2733</v>
      </c>
      <c r="D80" s="1515" t="s">
        <v>976</v>
      </c>
      <c r="E80" s="1515" t="s">
        <v>977</v>
      </c>
      <c r="F80" s="1519">
        <v>59.15</v>
      </c>
      <c r="G80" s="1518">
        <v>41512</v>
      </c>
      <c r="H80" s="1518">
        <v>41876</v>
      </c>
      <c r="I80" s="1515" t="s">
        <v>2576</v>
      </c>
      <c r="J80" s="1519">
        <v>63.91</v>
      </c>
      <c r="K80" s="1515" t="s">
        <v>1018</v>
      </c>
    </row>
    <row r="81" spans="2:11" ht="30">
      <c r="B81" s="1632">
        <f t="shared" si="1"/>
        <v>80</v>
      </c>
      <c r="C81" s="1516" t="s">
        <v>2577</v>
      </c>
      <c r="D81" s="1515" t="s">
        <v>976</v>
      </c>
      <c r="E81" s="1515" t="s">
        <v>978</v>
      </c>
      <c r="F81" s="1519">
        <v>19.399999999999999</v>
      </c>
      <c r="G81" s="1518">
        <v>43056</v>
      </c>
      <c r="H81" s="1518">
        <v>43524</v>
      </c>
      <c r="I81" s="1515" t="s">
        <v>2578</v>
      </c>
      <c r="J81" s="1519">
        <v>19.399999999999999</v>
      </c>
      <c r="K81" s="1515" t="s">
        <v>1018</v>
      </c>
    </row>
    <row r="82" spans="2:11">
      <c r="B82" s="1632">
        <f t="shared" si="1"/>
        <v>81</v>
      </c>
      <c r="C82" s="1516" t="s">
        <v>2579</v>
      </c>
      <c r="D82" s="1515" t="s">
        <v>2462</v>
      </c>
      <c r="E82" s="1958" t="s">
        <v>2580</v>
      </c>
      <c r="F82" s="1955">
        <v>47.1</v>
      </c>
      <c r="G82" s="1958" t="s">
        <v>2580</v>
      </c>
      <c r="H82" s="1958" t="s">
        <v>2581</v>
      </c>
      <c r="I82" s="1515" t="s">
        <v>2530</v>
      </c>
      <c r="J82" s="1515"/>
      <c r="K82" s="1515" t="s">
        <v>1018</v>
      </c>
    </row>
    <row r="83" spans="2:11">
      <c r="B83" s="1632">
        <f t="shared" si="1"/>
        <v>82</v>
      </c>
      <c r="C83" s="1516" t="s">
        <v>2582</v>
      </c>
      <c r="D83" s="1515" t="s">
        <v>2462</v>
      </c>
      <c r="E83" s="1958"/>
      <c r="F83" s="1955"/>
      <c r="G83" s="1958"/>
      <c r="H83" s="1958"/>
      <c r="I83" s="1515" t="s">
        <v>2530</v>
      </c>
      <c r="J83" s="1515"/>
      <c r="K83" s="1515" t="s">
        <v>1018</v>
      </c>
    </row>
    <row r="84" spans="2:11">
      <c r="B84" s="1632">
        <f t="shared" si="1"/>
        <v>83</v>
      </c>
      <c r="C84" s="1516" t="s">
        <v>2583</v>
      </c>
      <c r="D84" s="1515" t="s">
        <v>2462</v>
      </c>
      <c r="E84" s="1958"/>
      <c r="F84" s="1955"/>
      <c r="G84" s="1958"/>
      <c r="H84" s="1958"/>
      <c r="I84" s="1515" t="s">
        <v>2530</v>
      </c>
      <c r="J84" s="1515"/>
      <c r="K84" s="1515" t="s">
        <v>1018</v>
      </c>
    </row>
    <row r="85" spans="2:11">
      <c r="B85" s="1632">
        <f t="shared" si="1"/>
        <v>84</v>
      </c>
      <c r="C85" s="1516" t="s">
        <v>2584</v>
      </c>
      <c r="D85" s="1515" t="s">
        <v>2462</v>
      </c>
      <c r="E85" s="1958"/>
      <c r="F85" s="1955"/>
      <c r="G85" s="1958"/>
      <c r="H85" s="1958"/>
      <c r="I85" s="1515" t="s">
        <v>2530</v>
      </c>
      <c r="J85" s="1515"/>
      <c r="K85" s="1515" t="s">
        <v>1018</v>
      </c>
    </row>
    <row r="86" spans="2:11">
      <c r="B86" s="1632">
        <f t="shared" si="1"/>
        <v>85</v>
      </c>
      <c r="C86" s="1516" t="s">
        <v>2585</v>
      </c>
      <c r="D86" s="1515" t="s">
        <v>2462</v>
      </c>
      <c r="E86" s="1958"/>
      <c r="F86" s="1955"/>
      <c r="G86" s="1958"/>
      <c r="H86" s="1958"/>
      <c r="I86" s="1515" t="s">
        <v>2530</v>
      </c>
      <c r="J86" s="1515"/>
      <c r="K86" s="1515" t="s">
        <v>1018</v>
      </c>
    </row>
    <row r="87" spans="2:11">
      <c r="B87" s="1632">
        <f t="shared" si="1"/>
        <v>86</v>
      </c>
      <c r="C87" s="1516" t="s">
        <v>2586</v>
      </c>
      <c r="D87" s="1515" t="s">
        <v>976</v>
      </c>
      <c r="E87" s="1515" t="s">
        <v>985</v>
      </c>
      <c r="F87" s="1519">
        <v>25.05</v>
      </c>
      <c r="G87" s="1518">
        <v>42084</v>
      </c>
      <c r="H87" s="1518">
        <v>42450</v>
      </c>
      <c r="I87" s="1515" t="s">
        <v>2530</v>
      </c>
      <c r="J87" s="1519">
        <v>0</v>
      </c>
      <c r="K87" s="1515" t="s">
        <v>1018</v>
      </c>
    </row>
    <row r="88" spans="2:11" ht="30">
      <c r="B88" s="1632">
        <f t="shared" si="1"/>
        <v>87</v>
      </c>
      <c r="C88" s="1516" t="s">
        <v>2587</v>
      </c>
      <c r="D88" s="1515" t="s">
        <v>976</v>
      </c>
      <c r="E88" s="1515" t="s">
        <v>986</v>
      </c>
      <c r="F88" s="1519">
        <v>19.170000000000002</v>
      </c>
      <c r="G88" s="1518">
        <v>42032</v>
      </c>
      <c r="H88" s="1518">
        <v>42396</v>
      </c>
      <c r="I88" s="1515" t="s">
        <v>2588</v>
      </c>
      <c r="J88" s="1519">
        <v>0</v>
      </c>
      <c r="K88" s="1515" t="s">
        <v>1018</v>
      </c>
    </row>
    <row r="89" spans="2:11" ht="30">
      <c r="B89" s="1632">
        <f t="shared" si="1"/>
        <v>88</v>
      </c>
      <c r="C89" s="1516" t="s">
        <v>2589</v>
      </c>
      <c r="D89" s="1515" t="s">
        <v>976</v>
      </c>
      <c r="E89" s="1515" t="s">
        <v>987</v>
      </c>
      <c r="F89" s="1519">
        <v>8.4</v>
      </c>
      <c r="G89" s="1518">
        <v>42431</v>
      </c>
      <c r="H89" s="1518">
        <v>42614</v>
      </c>
      <c r="I89" s="1515" t="s">
        <v>995</v>
      </c>
      <c r="J89" s="1519">
        <v>0</v>
      </c>
      <c r="K89" s="1515" t="s">
        <v>1018</v>
      </c>
    </row>
    <row r="90" spans="2:11">
      <c r="B90" s="1632">
        <f t="shared" si="1"/>
        <v>89</v>
      </c>
      <c r="C90" s="1516" t="s">
        <v>2590</v>
      </c>
      <c r="D90" s="1515" t="s">
        <v>2462</v>
      </c>
      <c r="E90" s="1515" t="s">
        <v>2591</v>
      </c>
      <c r="F90" s="1519">
        <v>10</v>
      </c>
      <c r="G90" s="1515" t="s">
        <v>2591</v>
      </c>
      <c r="H90" s="1515" t="s">
        <v>2592</v>
      </c>
      <c r="I90" s="1515" t="s">
        <v>2508</v>
      </c>
      <c r="J90" s="1519">
        <v>11.47</v>
      </c>
      <c r="K90" s="1515" t="s">
        <v>1018</v>
      </c>
    </row>
    <row r="91" spans="2:11">
      <c r="B91" s="1632">
        <f t="shared" si="1"/>
        <v>90</v>
      </c>
      <c r="C91" s="1516" t="s">
        <v>2593</v>
      </c>
      <c r="D91" s="1515" t="s">
        <v>976</v>
      </c>
      <c r="E91" s="1954" t="s">
        <v>2594</v>
      </c>
      <c r="F91" s="1955">
        <v>82.1</v>
      </c>
      <c r="G91" s="1954" t="s">
        <v>2594</v>
      </c>
      <c r="H91" s="1954" t="s">
        <v>2595</v>
      </c>
      <c r="I91" s="1515" t="s">
        <v>2530</v>
      </c>
      <c r="J91" s="1515"/>
      <c r="K91" s="1515" t="s">
        <v>1018</v>
      </c>
    </row>
    <row r="92" spans="2:11">
      <c r="B92" s="1632">
        <f t="shared" si="1"/>
        <v>91</v>
      </c>
      <c r="C92" s="1516" t="s">
        <v>2596</v>
      </c>
      <c r="D92" s="1515" t="s">
        <v>976</v>
      </c>
      <c r="E92" s="1954"/>
      <c r="F92" s="1955"/>
      <c r="G92" s="1954"/>
      <c r="H92" s="1954"/>
      <c r="I92" s="1515" t="s">
        <v>2530</v>
      </c>
      <c r="J92" s="1515"/>
      <c r="K92" s="1515" t="s">
        <v>1018</v>
      </c>
    </row>
    <row r="93" spans="2:11">
      <c r="B93" s="1632">
        <f t="shared" si="1"/>
        <v>92</v>
      </c>
      <c r="C93" s="1516" t="s">
        <v>2597</v>
      </c>
      <c r="D93" s="1515" t="s">
        <v>976</v>
      </c>
      <c r="E93" s="1954"/>
      <c r="F93" s="1955"/>
      <c r="G93" s="1954"/>
      <c r="H93" s="1954"/>
      <c r="I93" s="1515" t="s">
        <v>2530</v>
      </c>
      <c r="J93" s="1515"/>
      <c r="K93" s="1515" t="s">
        <v>1018</v>
      </c>
    </row>
    <row r="94" spans="2:11">
      <c r="B94" s="1632">
        <f t="shared" si="1"/>
        <v>93</v>
      </c>
      <c r="C94" s="1516" t="s">
        <v>2598</v>
      </c>
      <c r="D94" s="1515" t="s">
        <v>976</v>
      </c>
      <c r="E94" s="1954"/>
      <c r="F94" s="1955"/>
      <c r="G94" s="1954"/>
      <c r="H94" s="1954"/>
      <c r="I94" s="1515" t="s">
        <v>2530</v>
      </c>
      <c r="J94" s="1515"/>
      <c r="K94" s="1515" t="s">
        <v>1018</v>
      </c>
    </row>
    <row r="95" spans="2:11" ht="30">
      <c r="B95" s="1632">
        <f t="shared" si="1"/>
        <v>94</v>
      </c>
      <c r="C95" s="1516" t="s">
        <v>2599</v>
      </c>
      <c r="D95" s="1515" t="s">
        <v>2462</v>
      </c>
      <c r="E95" s="1515" t="s">
        <v>1006</v>
      </c>
      <c r="F95" s="1519">
        <v>74.69</v>
      </c>
      <c r="G95" s="1518">
        <v>41699</v>
      </c>
      <c r="H95" s="1518">
        <v>42124</v>
      </c>
      <c r="I95" s="1515">
        <v>0</v>
      </c>
      <c r="J95" s="1519">
        <v>0</v>
      </c>
      <c r="K95" s="1515" t="s">
        <v>1018</v>
      </c>
    </row>
    <row r="96" spans="2:11" ht="30">
      <c r="B96" s="1632">
        <f t="shared" si="1"/>
        <v>95</v>
      </c>
      <c r="C96" s="1516" t="s">
        <v>2600</v>
      </c>
      <c r="D96" s="1515" t="s">
        <v>2462</v>
      </c>
      <c r="E96" s="1515" t="s">
        <v>985</v>
      </c>
      <c r="F96" s="1519">
        <v>6.46</v>
      </c>
      <c r="G96" s="1515" t="s">
        <v>985</v>
      </c>
      <c r="H96" s="1515" t="s">
        <v>2601</v>
      </c>
      <c r="I96" s="1515" t="s">
        <v>2530</v>
      </c>
      <c r="J96" s="1515"/>
      <c r="K96" s="1515" t="s">
        <v>1018</v>
      </c>
    </row>
    <row r="97" spans="2:11">
      <c r="B97" s="1632">
        <f t="shared" si="1"/>
        <v>96</v>
      </c>
      <c r="C97" s="1516" t="s">
        <v>2602</v>
      </c>
      <c r="D97" s="1515" t="s">
        <v>2462</v>
      </c>
      <c r="E97" s="1515" t="s">
        <v>982</v>
      </c>
      <c r="F97" s="1519">
        <v>4.33</v>
      </c>
      <c r="G97" s="1520">
        <v>42531</v>
      </c>
      <c r="H97" s="1520">
        <v>42713</v>
      </c>
      <c r="I97" s="1515">
        <v>0</v>
      </c>
      <c r="J97" s="1515"/>
      <c r="K97" s="1515" t="s">
        <v>1018</v>
      </c>
    </row>
    <row r="98" spans="2:11" ht="75">
      <c r="B98" s="1632">
        <f t="shared" si="1"/>
        <v>97</v>
      </c>
      <c r="C98" s="1516" t="s">
        <v>2734</v>
      </c>
      <c r="D98" s="1515" t="s">
        <v>976</v>
      </c>
      <c r="E98" s="1515" t="s">
        <v>2603</v>
      </c>
      <c r="F98" s="1519">
        <v>20.99</v>
      </c>
      <c r="G98" s="1520"/>
      <c r="H98" s="1520" t="s">
        <v>2604</v>
      </c>
      <c r="I98" s="1515" t="s">
        <v>2568</v>
      </c>
      <c r="J98" s="1515"/>
      <c r="K98" s="1515" t="s">
        <v>1018</v>
      </c>
    </row>
    <row r="99" spans="2:11" ht="60">
      <c r="B99" s="1632">
        <f t="shared" si="1"/>
        <v>98</v>
      </c>
      <c r="C99" s="1516" t="s">
        <v>2605</v>
      </c>
      <c r="D99" s="1515" t="s">
        <v>976</v>
      </c>
      <c r="E99" s="1515" t="s">
        <v>2606</v>
      </c>
      <c r="F99" s="1519">
        <v>14.83</v>
      </c>
      <c r="G99" s="1520"/>
      <c r="H99" s="1520" t="s">
        <v>2607</v>
      </c>
      <c r="I99" s="1515" t="s">
        <v>2568</v>
      </c>
      <c r="J99" s="1515"/>
      <c r="K99" s="1515" t="s">
        <v>1018</v>
      </c>
    </row>
    <row r="100" spans="2:11" ht="75">
      <c r="B100" s="1632">
        <f t="shared" si="1"/>
        <v>99</v>
      </c>
      <c r="C100" s="1516" t="s">
        <v>2608</v>
      </c>
      <c r="D100" s="1515" t="s">
        <v>976</v>
      </c>
      <c r="E100" s="1515" t="s">
        <v>1174</v>
      </c>
      <c r="F100" s="1519">
        <v>112.81</v>
      </c>
      <c r="G100" s="1520"/>
      <c r="H100" s="1520" t="s">
        <v>2609</v>
      </c>
      <c r="I100" s="1515" t="s">
        <v>2568</v>
      </c>
      <c r="J100" s="1515"/>
      <c r="K100" s="1515" t="s">
        <v>1018</v>
      </c>
    </row>
    <row r="101" spans="2:11" ht="60">
      <c r="B101" s="1632">
        <f t="shared" si="1"/>
        <v>100</v>
      </c>
      <c r="C101" s="1516" t="s">
        <v>2610</v>
      </c>
      <c r="D101" s="1515" t="s">
        <v>976</v>
      </c>
      <c r="E101" s="1515" t="s">
        <v>2611</v>
      </c>
      <c r="F101" s="1519">
        <v>63.94</v>
      </c>
      <c r="G101" s="1520"/>
      <c r="H101" s="1520" t="s">
        <v>2612</v>
      </c>
      <c r="I101" s="1515" t="s">
        <v>2613</v>
      </c>
      <c r="J101" s="1515"/>
      <c r="K101" s="1515" t="s">
        <v>1018</v>
      </c>
    </row>
    <row r="102" spans="2:11" ht="75">
      <c r="B102" s="1632">
        <f t="shared" si="1"/>
        <v>101</v>
      </c>
      <c r="C102" s="1516" t="s">
        <v>2614</v>
      </c>
      <c r="D102" s="1515" t="s">
        <v>976</v>
      </c>
      <c r="E102" s="1515" t="s">
        <v>2615</v>
      </c>
      <c r="F102" s="1519">
        <v>75.22</v>
      </c>
      <c r="G102" s="1520"/>
      <c r="H102" s="1520" t="s">
        <v>2616</v>
      </c>
      <c r="I102" s="1515" t="s">
        <v>2613</v>
      </c>
      <c r="J102" s="1515"/>
      <c r="K102" s="1515" t="s">
        <v>1018</v>
      </c>
    </row>
    <row r="103" spans="2:11" ht="60">
      <c r="B103" s="1632">
        <f t="shared" si="1"/>
        <v>102</v>
      </c>
      <c r="C103" s="1516" t="s">
        <v>2735</v>
      </c>
      <c r="D103" s="1515" t="s">
        <v>976</v>
      </c>
      <c r="E103" s="1515" t="s">
        <v>2617</v>
      </c>
      <c r="F103" s="1519">
        <v>86.67</v>
      </c>
      <c r="G103" s="1520"/>
      <c r="H103" s="1520">
        <v>0</v>
      </c>
      <c r="I103" s="1515" t="s">
        <v>2613</v>
      </c>
      <c r="J103" s="1515"/>
      <c r="K103" s="1515" t="s">
        <v>1018</v>
      </c>
    </row>
    <row r="104" spans="2:11" ht="60">
      <c r="B104" s="1632">
        <f t="shared" si="1"/>
        <v>103</v>
      </c>
      <c r="C104" s="1516" t="s">
        <v>2618</v>
      </c>
      <c r="D104" s="1515" t="s">
        <v>976</v>
      </c>
      <c r="E104" s="1515" t="s">
        <v>2619</v>
      </c>
      <c r="F104" s="1519">
        <v>12.03</v>
      </c>
      <c r="G104" s="1520"/>
      <c r="H104" s="1520" t="s">
        <v>2620</v>
      </c>
      <c r="I104" s="1515" t="s">
        <v>2621</v>
      </c>
      <c r="J104" s="1515"/>
      <c r="K104" s="1515" t="s">
        <v>1018</v>
      </c>
    </row>
    <row r="105" spans="2:11" ht="60">
      <c r="B105" s="1632">
        <f t="shared" si="1"/>
        <v>104</v>
      </c>
      <c r="C105" s="1516" t="s">
        <v>2622</v>
      </c>
      <c r="D105" s="1515" t="s">
        <v>976</v>
      </c>
      <c r="E105" s="1515" t="s">
        <v>2623</v>
      </c>
      <c r="F105" s="1519">
        <v>12.8</v>
      </c>
      <c r="G105" s="1520"/>
      <c r="H105" s="1520" t="s">
        <v>2624</v>
      </c>
      <c r="I105" s="1515" t="s">
        <v>2568</v>
      </c>
      <c r="J105" s="1515"/>
      <c r="K105" s="1515" t="s">
        <v>1018</v>
      </c>
    </row>
    <row r="106" spans="2:11" ht="45">
      <c r="B106" s="1632">
        <f t="shared" si="1"/>
        <v>105</v>
      </c>
      <c r="C106" s="1516" t="s">
        <v>2625</v>
      </c>
      <c r="D106" s="1515" t="s">
        <v>976</v>
      </c>
      <c r="E106" s="1515" t="s">
        <v>2626</v>
      </c>
      <c r="F106" s="1519">
        <v>10.53</v>
      </c>
      <c r="G106" s="1520"/>
      <c r="H106" s="1520" t="s">
        <v>2627</v>
      </c>
      <c r="I106" s="1515" t="s">
        <v>2568</v>
      </c>
      <c r="J106" s="1515"/>
      <c r="K106" s="1515" t="s">
        <v>1018</v>
      </c>
    </row>
    <row r="107" spans="2:11" ht="30">
      <c r="B107" s="1632">
        <f t="shared" si="1"/>
        <v>106</v>
      </c>
      <c r="C107" s="1516" t="s">
        <v>974</v>
      </c>
      <c r="D107" s="1515" t="s">
        <v>976</v>
      </c>
      <c r="E107" s="1515" t="s">
        <v>2626</v>
      </c>
      <c r="F107" s="1519">
        <v>8.4499999999999993</v>
      </c>
      <c r="G107" s="1520"/>
      <c r="H107" s="1520" t="s">
        <v>2627</v>
      </c>
      <c r="I107" s="1515" t="s">
        <v>2568</v>
      </c>
      <c r="J107" s="1515"/>
      <c r="K107" s="1515" t="s">
        <v>1018</v>
      </c>
    </row>
    <row r="108" spans="2:11" ht="30">
      <c r="B108" s="1632">
        <f t="shared" si="1"/>
        <v>107</v>
      </c>
      <c r="C108" s="1516" t="s">
        <v>975</v>
      </c>
      <c r="D108" s="1515" t="s">
        <v>976</v>
      </c>
      <c r="E108" s="1515" t="s">
        <v>2626</v>
      </c>
      <c r="F108" s="1519">
        <v>7.22</v>
      </c>
      <c r="G108" s="1520"/>
      <c r="H108" s="1520" t="s">
        <v>2627</v>
      </c>
      <c r="I108" s="1515" t="s">
        <v>2568</v>
      </c>
      <c r="J108" s="1515"/>
      <c r="K108" s="1515" t="s">
        <v>1018</v>
      </c>
    </row>
    <row r="109" spans="2:11" ht="60">
      <c r="B109" s="1632">
        <f t="shared" si="1"/>
        <v>108</v>
      </c>
      <c r="C109" s="1516" t="s">
        <v>2628</v>
      </c>
      <c r="D109" s="1515" t="s">
        <v>976</v>
      </c>
      <c r="E109" s="1515" t="s">
        <v>2626</v>
      </c>
      <c r="F109" s="1519">
        <v>22.01</v>
      </c>
      <c r="G109" s="1520"/>
      <c r="H109" s="1520" t="s">
        <v>2629</v>
      </c>
      <c r="I109" s="1515" t="s">
        <v>2568</v>
      </c>
      <c r="J109" s="1515"/>
      <c r="K109" s="1515" t="s">
        <v>1018</v>
      </c>
    </row>
    <row r="110" spans="2:11" ht="45">
      <c r="B110" s="1632">
        <f t="shared" si="1"/>
        <v>109</v>
      </c>
      <c r="C110" s="1516" t="s">
        <v>2630</v>
      </c>
      <c r="D110" s="1515" t="s">
        <v>976</v>
      </c>
      <c r="E110" s="1515" t="s">
        <v>2626</v>
      </c>
      <c r="F110" s="1519">
        <v>23.36</v>
      </c>
      <c r="G110" s="1520"/>
      <c r="H110" s="1520" t="s">
        <v>2629</v>
      </c>
      <c r="I110" s="1515" t="s">
        <v>2568</v>
      </c>
      <c r="J110" s="1515"/>
      <c r="K110" s="1515" t="s">
        <v>1018</v>
      </c>
    </row>
    <row r="111" spans="2:11" ht="60">
      <c r="B111" s="1632">
        <f t="shared" si="1"/>
        <v>110</v>
      </c>
      <c r="C111" s="1516" t="s">
        <v>2631</v>
      </c>
      <c r="D111" s="1515" t="s">
        <v>976</v>
      </c>
      <c r="E111" s="1515" t="s">
        <v>2626</v>
      </c>
      <c r="F111" s="1519">
        <v>20.49</v>
      </c>
      <c r="G111" s="1520"/>
      <c r="H111" s="1520" t="s">
        <v>2629</v>
      </c>
      <c r="I111" s="1515" t="s">
        <v>2568</v>
      </c>
      <c r="J111" s="1515"/>
      <c r="K111" s="1515" t="s">
        <v>1018</v>
      </c>
    </row>
    <row r="112" spans="2:11" ht="45">
      <c r="B112" s="1632">
        <f t="shared" si="1"/>
        <v>111</v>
      </c>
      <c r="C112" s="1516" t="s">
        <v>2632</v>
      </c>
      <c r="D112" s="1515" t="s">
        <v>976</v>
      </c>
      <c r="E112" s="1515" t="s">
        <v>2626</v>
      </c>
      <c r="F112" s="1519">
        <v>18.95</v>
      </c>
      <c r="G112" s="1520"/>
      <c r="H112" s="1520" t="s">
        <v>2629</v>
      </c>
      <c r="I112" s="1515" t="s">
        <v>2568</v>
      </c>
      <c r="J112" s="1515"/>
      <c r="K112" s="1515" t="s">
        <v>1018</v>
      </c>
    </row>
    <row r="113" spans="2:11" ht="45">
      <c r="B113" s="1632">
        <f t="shared" si="1"/>
        <v>112</v>
      </c>
      <c r="C113" s="1516" t="s">
        <v>2633</v>
      </c>
      <c r="D113" s="1515" t="s">
        <v>976</v>
      </c>
      <c r="E113" s="1515" t="s">
        <v>2626</v>
      </c>
      <c r="F113" s="1519">
        <v>17.09</v>
      </c>
      <c r="G113" s="1520"/>
      <c r="H113" s="1520" t="s">
        <v>2629</v>
      </c>
      <c r="I113" s="1515" t="s">
        <v>2568</v>
      </c>
      <c r="J113" s="1515"/>
      <c r="K113" s="1515" t="s">
        <v>1018</v>
      </c>
    </row>
    <row r="114" spans="2:11" ht="60">
      <c r="B114" s="1632">
        <f t="shared" si="1"/>
        <v>113</v>
      </c>
      <c r="C114" s="1516" t="s">
        <v>2634</v>
      </c>
      <c r="D114" s="1515" t="s">
        <v>976</v>
      </c>
      <c r="E114" s="1515" t="s">
        <v>2611</v>
      </c>
      <c r="F114" s="1519">
        <v>81.760000000000005</v>
      </c>
      <c r="G114" s="1520"/>
      <c r="H114" s="1520" t="s">
        <v>2612</v>
      </c>
      <c r="I114" s="1515" t="s">
        <v>2635</v>
      </c>
      <c r="J114" s="1515"/>
      <c r="K114" s="1515" t="s">
        <v>1018</v>
      </c>
    </row>
    <row r="115" spans="2:11" ht="90">
      <c r="B115" s="1632">
        <f t="shared" si="1"/>
        <v>114</v>
      </c>
      <c r="C115" s="1516" t="s">
        <v>2636</v>
      </c>
      <c r="D115" s="1515" t="s">
        <v>976</v>
      </c>
      <c r="E115" s="1515" t="s">
        <v>2637</v>
      </c>
      <c r="F115" s="1519">
        <v>40.39</v>
      </c>
      <c r="G115" s="1520"/>
      <c r="H115" s="1520" t="s">
        <v>2638</v>
      </c>
      <c r="I115" s="1515" t="s">
        <v>2639</v>
      </c>
      <c r="J115" s="1515"/>
      <c r="K115" s="1515" t="s">
        <v>1018</v>
      </c>
    </row>
    <row r="116" spans="2:11" ht="90">
      <c r="B116" s="1632">
        <f t="shared" si="1"/>
        <v>115</v>
      </c>
      <c r="C116" s="1516" t="s">
        <v>2640</v>
      </c>
      <c r="D116" s="1515" t="s">
        <v>976</v>
      </c>
      <c r="E116" s="1515" t="s">
        <v>2641</v>
      </c>
      <c r="F116" s="1519">
        <v>14.62</v>
      </c>
      <c r="G116" s="1520"/>
      <c r="H116" s="1520" t="s">
        <v>2612</v>
      </c>
      <c r="I116" s="1515" t="s">
        <v>2642</v>
      </c>
      <c r="J116" s="1515"/>
      <c r="K116" s="1515" t="s">
        <v>1018</v>
      </c>
    </row>
    <row r="117" spans="2:11" ht="150">
      <c r="B117" s="1632">
        <f t="shared" si="1"/>
        <v>116</v>
      </c>
      <c r="C117" s="1516" t="s">
        <v>2643</v>
      </c>
      <c r="D117" s="1515" t="s">
        <v>976</v>
      </c>
      <c r="E117" s="1515" t="s">
        <v>1174</v>
      </c>
      <c r="F117" s="1519">
        <v>86.24</v>
      </c>
      <c r="G117" s="1520"/>
      <c r="H117" s="1520" t="s">
        <v>2644</v>
      </c>
      <c r="I117" s="1515" t="s">
        <v>2613</v>
      </c>
      <c r="J117" s="1515"/>
      <c r="K117" s="1515" t="s">
        <v>1018</v>
      </c>
    </row>
    <row r="118" spans="2:11" ht="75">
      <c r="B118" s="1632">
        <f t="shared" si="1"/>
        <v>117</v>
      </c>
      <c r="C118" s="1516" t="s">
        <v>2645</v>
      </c>
      <c r="D118" s="1515" t="s">
        <v>976</v>
      </c>
      <c r="E118" s="1515" t="s">
        <v>2646</v>
      </c>
      <c r="F118" s="1519">
        <v>68.11</v>
      </c>
      <c r="G118" s="1520"/>
      <c r="H118" s="1520" t="s">
        <v>2647</v>
      </c>
      <c r="I118" s="1515" t="s">
        <v>2613</v>
      </c>
      <c r="J118" s="1515"/>
      <c r="K118" s="1515" t="s">
        <v>1018</v>
      </c>
    </row>
    <row r="119" spans="2:11" ht="120">
      <c r="B119" s="1632">
        <f t="shared" si="1"/>
        <v>118</v>
      </c>
      <c r="C119" s="1516" t="s">
        <v>2648</v>
      </c>
      <c r="D119" s="1515" t="s">
        <v>976</v>
      </c>
      <c r="E119" s="1515" t="s">
        <v>1174</v>
      </c>
      <c r="F119" s="1519">
        <v>49.57</v>
      </c>
      <c r="G119" s="1520"/>
      <c r="H119" s="1520" t="s">
        <v>2629</v>
      </c>
      <c r="I119" s="1515" t="s">
        <v>2613</v>
      </c>
      <c r="J119" s="1515"/>
      <c r="K119" s="1515" t="s">
        <v>1018</v>
      </c>
    </row>
    <row r="120" spans="2:11" ht="60">
      <c r="B120" s="1632">
        <f t="shared" si="1"/>
        <v>119</v>
      </c>
      <c r="C120" s="1516" t="s">
        <v>2649</v>
      </c>
      <c r="D120" s="1515" t="s">
        <v>976</v>
      </c>
      <c r="E120" s="1515" t="s">
        <v>2606</v>
      </c>
      <c r="F120" s="1519">
        <v>10.07</v>
      </c>
      <c r="G120" s="1520"/>
      <c r="H120" s="1520" t="s">
        <v>2627</v>
      </c>
      <c r="I120" s="1515" t="s">
        <v>2568</v>
      </c>
      <c r="J120" s="1515"/>
      <c r="K120" s="1515" t="s">
        <v>1018</v>
      </c>
    </row>
    <row r="121" spans="2:11" ht="60">
      <c r="B121" s="1632">
        <f t="shared" si="1"/>
        <v>120</v>
      </c>
      <c r="C121" s="1516" t="s">
        <v>2650</v>
      </c>
      <c r="D121" s="1515" t="s">
        <v>976</v>
      </c>
      <c r="E121" s="1515" t="s">
        <v>2651</v>
      </c>
      <c r="F121" s="1519">
        <v>8.24</v>
      </c>
      <c r="G121" s="1520"/>
      <c r="H121" s="1520" t="s">
        <v>2652</v>
      </c>
      <c r="I121" s="1515" t="s">
        <v>2653</v>
      </c>
      <c r="J121" s="1515"/>
      <c r="K121" s="1515" t="s">
        <v>1018</v>
      </c>
    </row>
    <row r="122" spans="2:11" ht="60">
      <c r="B122" s="1632">
        <f t="shared" si="1"/>
        <v>121</v>
      </c>
      <c r="C122" s="1516" t="s">
        <v>2654</v>
      </c>
      <c r="D122" s="1515" t="s">
        <v>976</v>
      </c>
      <c r="E122" s="1515" t="s">
        <v>2655</v>
      </c>
      <c r="F122" s="1519">
        <v>33.450000000000003</v>
      </c>
      <c r="G122" s="1520"/>
      <c r="H122" s="1520" t="s">
        <v>2656</v>
      </c>
      <c r="I122" s="1515" t="s">
        <v>2613</v>
      </c>
      <c r="J122" s="1515"/>
      <c r="K122" s="1515" t="s">
        <v>1018</v>
      </c>
    </row>
    <row r="123" spans="2:11" ht="75">
      <c r="B123" s="1632">
        <f t="shared" si="1"/>
        <v>122</v>
      </c>
      <c r="C123" s="1516" t="s">
        <v>2657</v>
      </c>
      <c r="D123" s="1515" t="s">
        <v>976</v>
      </c>
      <c r="E123" s="1515" t="s">
        <v>2658</v>
      </c>
      <c r="F123" s="1519">
        <v>29.14</v>
      </c>
      <c r="G123" s="1520"/>
      <c r="H123" s="1520" t="s">
        <v>2659</v>
      </c>
      <c r="I123" s="1515" t="s">
        <v>2660</v>
      </c>
      <c r="J123" s="1515"/>
      <c r="K123" s="1515" t="s">
        <v>1018</v>
      </c>
    </row>
    <row r="124" spans="2:11" ht="60">
      <c r="B124" s="1632">
        <f t="shared" si="1"/>
        <v>123</v>
      </c>
      <c r="C124" s="1516" t="s">
        <v>2661</v>
      </c>
      <c r="D124" s="1515" t="s">
        <v>976</v>
      </c>
      <c r="E124" s="1515" t="s">
        <v>2662</v>
      </c>
      <c r="F124" s="1519">
        <v>16.73</v>
      </c>
      <c r="G124" s="1520"/>
      <c r="H124" s="1520" t="s">
        <v>2660</v>
      </c>
      <c r="I124" s="1515" t="s">
        <v>2660</v>
      </c>
      <c r="J124" s="1515"/>
      <c r="K124" s="1515" t="s">
        <v>1018</v>
      </c>
    </row>
    <row r="125" spans="2:11" ht="45">
      <c r="B125" s="1632">
        <f t="shared" si="1"/>
        <v>124</v>
      </c>
      <c r="C125" s="1516" t="s">
        <v>2663</v>
      </c>
      <c r="D125" s="1515"/>
      <c r="E125" s="1515">
        <v>43486</v>
      </c>
      <c r="F125" s="1519">
        <v>114</v>
      </c>
      <c r="G125" s="1520">
        <v>43486</v>
      </c>
      <c r="H125" s="1520"/>
      <c r="I125" s="1515" t="s">
        <v>2568</v>
      </c>
      <c r="J125" s="1515">
        <v>93.37</v>
      </c>
      <c r="K125" s="1515" t="s">
        <v>1018</v>
      </c>
    </row>
    <row r="126" spans="2:11" ht="45">
      <c r="B126" s="1632">
        <f t="shared" si="1"/>
        <v>125</v>
      </c>
      <c r="C126" s="1516" t="s">
        <v>2664</v>
      </c>
      <c r="D126" s="1515"/>
      <c r="E126" s="1515">
        <v>43486</v>
      </c>
      <c r="F126" s="1519">
        <v>40.18</v>
      </c>
      <c r="G126" s="1520">
        <v>43486</v>
      </c>
      <c r="H126" s="1520"/>
      <c r="I126" s="1515" t="s">
        <v>2665</v>
      </c>
      <c r="J126" s="1515">
        <v>34.74</v>
      </c>
      <c r="K126" s="1515" t="s">
        <v>1018</v>
      </c>
    </row>
    <row r="127" spans="2:11" ht="45">
      <c r="B127" s="1632">
        <f t="shared" si="1"/>
        <v>126</v>
      </c>
      <c r="C127" s="1516" t="s">
        <v>2666</v>
      </c>
      <c r="D127" s="1515" t="s">
        <v>976</v>
      </c>
      <c r="E127" s="1515" t="s">
        <v>1174</v>
      </c>
      <c r="F127" s="1519">
        <v>194.21</v>
      </c>
      <c r="G127" s="1520"/>
      <c r="H127" s="1520" t="s">
        <v>2667</v>
      </c>
      <c r="I127" s="1515" t="s">
        <v>2613</v>
      </c>
      <c r="J127" s="1515"/>
      <c r="K127" s="1515" t="s">
        <v>1018</v>
      </c>
    </row>
    <row r="128" spans="2:11" ht="60">
      <c r="B128" s="1632">
        <f t="shared" si="1"/>
        <v>127</v>
      </c>
      <c r="C128" s="1516" t="s">
        <v>2668</v>
      </c>
      <c r="D128" s="1515" t="s">
        <v>976</v>
      </c>
      <c r="E128" s="1515" t="s">
        <v>2669</v>
      </c>
      <c r="F128" s="1519">
        <v>42.19</v>
      </c>
      <c r="G128" s="1520"/>
      <c r="H128" s="1520" t="s">
        <v>2670</v>
      </c>
      <c r="I128" s="1515" t="s">
        <v>2613</v>
      </c>
      <c r="J128" s="1515"/>
      <c r="K128" s="1515" t="s">
        <v>1018</v>
      </c>
    </row>
    <row r="129" spans="2:11" ht="45">
      <c r="B129" s="1632">
        <f t="shared" si="1"/>
        <v>128</v>
      </c>
      <c r="C129" s="1516" t="s">
        <v>2671</v>
      </c>
      <c r="D129" s="1515" t="s">
        <v>976</v>
      </c>
      <c r="E129" s="1515" t="s">
        <v>2672</v>
      </c>
      <c r="F129" s="1519">
        <v>35.99</v>
      </c>
      <c r="G129" s="1520"/>
      <c r="H129" s="1520" t="s">
        <v>2667</v>
      </c>
      <c r="I129" s="1515" t="s">
        <v>2673</v>
      </c>
      <c r="J129" s="1515"/>
      <c r="K129" s="1515" t="s">
        <v>1018</v>
      </c>
    </row>
    <row r="130" spans="2:11" ht="45">
      <c r="B130" s="1632">
        <f t="shared" si="1"/>
        <v>129</v>
      </c>
      <c r="C130" s="1516" t="s">
        <v>2674</v>
      </c>
      <c r="D130" s="1515" t="s">
        <v>976</v>
      </c>
      <c r="E130" s="1515" t="s">
        <v>2675</v>
      </c>
      <c r="F130" s="1519">
        <v>42.69</v>
      </c>
      <c r="G130" s="1520"/>
      <c r="H130" s="1520" t="s">
        <v>2676</v>
      </c>
      <c r="I130" s="1515" t="s">
        <v>2677</v>
      </c>
      <c r="J130" s="1515"/>
      <c r="K130" s="1515" t="s">
        <v>1018</v>
      </c>
    </row>
    <row r="131" spans="2:11" ht="195">
      <c r="B131" s="1632">
        <f t="shared" si="1"/>
        <v>130</v>
      </c>
      <c r="C131" s="1516" t="s">
        <v>2678</v>
      </c>
      <c r="D131" s="1515" t="s">
        <v>976</v>
      </c>
      <c r="E131" s="1515" t="s">
        <v>2679</v>
      </c>
      <c r="F131" s="1519">
        <v>105.28</v>
      </c>
      <c r="G131" s="1520"/>
      <c r="H131" s="1520" t="s">
        <v>2616</v>
      </c>
      <c r="I131" s="1515" t="s">
        <v>2680</v>
      </c>
      <c r="J131" s="1515"/>
      <c r="K131" s="1515" t="s">
        <v>1018</v>
      </c>
    </row>
    <row r="132" spans="2:11" ht="45">
      <c r="B132" s="1632">
        <f t="shared" si="1"/>
        <v>131</v>
      </c>
      <c r="C132" s="1516" t="s">
        <v>2681</v>
      </c>
      <c r="D132" s="1515" t="s">
        <v>976</v>
      </c>
      <c r="E132" s="1515" t="s">
        <v>2606</v>
      </c>
      <c r="F132" s="1519">
        <v>6.72</v>
      </c>
      <c r="G132" s="1520"/>
      <c r="H132" s="1520" t="s">
        <v>2682</v>
      </c>
      <c r="I132" s="1515" t="s">
        <v>2677</v>
      </c>
      <c r="J132" s="1515"/>
      <c r="K132" s="1515" t="s">
        <v>1018</v>
      </c>
    </row>
    <row r="133" spans="2:11" ht="75">
      <c r="B133" s="1632">
        <f t="shared" ref="B133:B146" si="2">B132+1</f>
        <v>132</v>
      </c>
      <c r="C133" s="1516" t="s">
        <v>2683</v>
      </c>
      <c r="D133" s="1515" t="s">
        <v>976</v>
      </c>
      <c r="E133" s="1515" t="s">
        <v>1174</v>
      </c>
      <c r="F133" s="1519">
        <v>85.43</v>
      </c>
      <c r="G133" s="1520"/>
      <c r="H133" s="1520" t="s">
        <v>2684</v>
      </c>
      <c r="I133" s="1515" t="s">
        <v>2685</v>
      </c>
      <c r="J133" s="1515"/>
      <c r="K133" s="1515" t="s">
        <v>1018</v>
      </c>
    </row>
    <row r="134" spans="2:11" ht="45">
      <c r="B134" s="1632">
        <f t="shared" si="2"/>
        <v>133</v>
      </c>
      <c r="C134" s="1516" t="s">
        <v>2686</v>
      </c>
      <c r="D134" s="1515" t="s">
        <v>976</v>
      </c>
      <c r="E134" s="1515" t="s">
        <v>1174</v>
      </c>
      <c r="F134" s="1519">
        <v>132.91</v>
      </c>
      <c r="G134" s="1520"/>
      <c r="H134" s="1520" t="s">
        <v>2687</v>
      </c>
      <c r="I134" s="1515" t="s">
        <v>2688</v>
      </c>
      <c r="J134" s="1515"/>
      <c r="K134" s="1515" t="s">
        <v>1018</v>
      </c>
    </row>
    <row r="135" spans="2:11" ht="45">
      <c r="B135" s="1632">
        <f t="shared" si="2"/>
        <v>134</v>
      </c>
      <c r="C135" s="1516" t="s">
        <v>2689</v>
      </c>
      <c r="D135" s="1515" t="s">
        <v>976</v>
      </c>
      <c r="E135" s="1515" t="s">
        <v>1174</v>
      </c>
      <c r="F135" s="1519">
        <v>138.94999999999999</v>
      </c>
      <c r="G135" s="1520"/>
      <c r="H135" s="1520" t="s">
        <v>2609</v>
      </c>
      <c r="I135" s="1515" t="s">
        <v>2680</v>
      </c>
      <c r="J135" s="1515"/>
      <c r="K135" s="1515" t="s">
        <v>1018</v>
      </c>
    </row>
    <row r="136" spans="2:11" ht="45">
      <c r="B136" s="1632">
        <f t="shared" si="2"/>
        <v>135</v>
      </c>
      <c r="C136" s="1516" t="s">
        <v>2690</v>
      </c>
      <c r="D136" s="1515" t="s">
        <v>976</v>
      </c>
      <c r="E136" s="1515" t="s">
        <v>2691</v>
      </c>
      <c r="F136" s="1519">
        <v>6.99</v>
      </c>
      <c r="G136" s="1520"/>
      <c r="H136" s="1520" t="s">
        <v>2692</v>
      </c>
      <c r="I136" s="1515" t="s">
        <v>2693</v>
      </c>
      <c r="J136" s="1515"/>
      <c r="K136" s="1515" t="s">
        <v>1018</v>
      </c>
    </row>
    <row r="137" spans="2:11" ht="30">
      <c r="B137" s="1632">
        <f t="shared" si="2"/>
        <v>136</v>
      </c>
      <c r="C137" s="1516" t="s">
        <v>2694</v>
      </c>
      <c r="D137" s="1515" t="s">
        <v>976</v>
      </c>
      <c r="E137" s="1515" t="s">
        <v>2606</v>
      </c>
      <c r="F137" s="1519">
        <v>7.04</v>
      </c>
      <c r="G137" s="1520"/>
      <c r="H137" s="1520" t="s">
        <v>2695</v>
      </c>
      <c r="I137" s="1515" t="s">
        <v>2677</v>
      </c>
      <c r="J137" s="1515"/>
      <c r="K137" s="1515" t="s">
        <v>1018</v>
      </c>
    </row>
    <row r="138" spans="2:11" ht="60">
      <c r="B138" s="1632">
        <f t="shared" si="2"/>
        <v>137</v>
      </c>
      <c r="C138" s="1516" t="s">
        <v>2696</v>
      </c>
      <c r="D138" s="1515" t="s">
        <v>976</v>
      </c>
      <c r="E138" s="1515" t="s">
        <v>2697</v>
      </c>
      <c r="F138" s="1519">
        <v>47.27</v>
      </c>
      <c r="G138" s="1520"/>
      <c r="H138" s="1520" t="s">
        <v>2667</v>
      </c>
      <c r="I138" s="1515" t="s">
        <v>2673</v>
      </c>
      <c r="J138" s="1515"/>
      <c r="K138" s="1515" t="s">
        <v>1018</v>
      </c>
    </row>
    <row r="139" spans="2:11" ht="75">
      <c r="B139" s="1632">
        <f t="shared" si="2"/>
        <v>138</v>
      </c>
      <c r="C139" s="1516" t="s">
        <v>2698</v>
      </c>
      <c r="D139" s="1515" t="s">
        <v>976</v>
      </c>
      <c r="E139" s="1515" t="s">
        <v>2699</v>
      </c>
      <c r="F139" s="1519">
        <v>104.38</v>
      </c>
      <c r="G139" s="1520"/>
      <c r="H139" s="1520" t="s">
        <v>2700</v>
      </c>
      <c r="I139" s="1515" t="s">
        <v>2685</v>
      </c>
      <c r="J139" s="1515"/>
      <c r="K139" s="1515" t="s">
        <v>1018</v>
      </c>
    </row>
    <row r="140" spans="2:11" ht="96.75" customHeight="1">
      <c r="B140" s="1632">
        <f t="shared" si="2"/>
        <v>139</v>
      </c>
      <c r="C140" s="1516" t="s">
        <v>2720</v>
      </c>
      <c r="D140" s="1515" t="s">
        <v>976</v>
      </c>
      <c r="E140" s="1515" t="s">
        <v>2701</v>
      </c>
      <c r="F140" s="1519">
        <v>139.13999999999999</v>
      </c>
      <c r="G140" s="1520"/>
      <c r="H140" s="1520" t="s">
        <v>2616</v>
      </c>
      <c r="I140" s="1515" t="s">
        <v>2685</v>
      </c>
      <c r="J140" s="1515"/>
      <c r="K140" s="1515" t="s">
        <v>1018</v>
      </c>
    </row>
    <row r="141" spans="2:11" ht="45">
      <c r="B141" s="1632">
        <f t="shared" si="2"/>
        <v>140</v>
      </c>
      <c r="C141" s="1516" t="s">
        <v>2674</v>
      </c>
      <c r="D141" s="1515" t="s">
        <v>976</v>
      </c>
      <c r="E141" s="1515" t="s">
        <v>2675</v>
      </c>
      <c r="F141" s="1519">
        <v>42.79</v>
      </c>
      <c r="G141" s="1520"/>
      <c r="H141" s="1520" t="s">
        <v>2676</v>
      </c>
      <c r="I141" s="1515" t="s">
        <v>2568</v>
      </c>
      <c r="J141" s="1515"/>
      <c r="K141" s="1515" t="s">
        <v>1018</v>
      </c>
    </row>
    <row r="142" spans="2:11" ht="30">
      <c r="B142" s="1632">
        <f t="shared" si="2"/>
        <v>141</v>
      </c>
      <c r="C142" s="1516" t="s">
        <v>2714</v>
      </c>
      <c r="D142" s="1515" t="s">
        <v>976</v>
      </c>
      <c r="E142" s="1515" t="s">
        <v>2606</v>
      </c>
      <c r="F142" s="1634">
        <v>10.41</v>
      </c>
      <c r="G142" s="1520"/>
      <c r="H142" s="1520" t="s">
        <v>2702</v>
      </c>
      <c r="I142" s="1515" t="s">
        <v>2568</v>
      </c>
      <c r="J142" s="1515"/>
      <c r="K142" s="1515" t="s">
        <v>1018</v>
      </c>
    </row>
    <row r="143" spans="2:11" ht="45">
      <c r="B143" s="1632">
        <f t="shared" si="2"/>
        <v>142</v>
      </c>
      <c r="C143" s="1516" t="s">
        <v>2713</v>
      </c>
      <c r="D143" s="1628" t="s">
        <v>976</v>
      </c>
      <c r="E143" s="1628" t="s">
        <v>2715</v>
      </c>
      <c r="F143" s="1634">
        <v>119.65</v>
      </c>
      <c r="G143" s="1628" t="s">
        <v>2715</v>
      </c>
      <c r="H143" s="1520"/>
      <c r="I143" s="1628"/>
      <c r="J143" s="1627">
        <v>111.79</v>
      </c>
      <c r="K143" s="1628" t="s">
        <v>1018</v>
      </c>
    </row>
    <row r="144" spans="2:11" ht="75">
      <c r="B144" s="1632">
        <f t="shared" si="2"/>
        <v>143</v>
      </c>
      <c r="C144" s="1516" t="s">
        <v>2716</v>
      </c>
      <c r="D144" s="1628" t="s">
        <v>976</v>
      </c>
      <c r="E144" s="1628" t="s">
        <v>2717</v>
      </c>
      <c r="F144" s="1627">
        <v>12.31</v>
      </c>
      <c r="G144" s="1628" t="s">
        <v>2717</v>
      </c>
      <c r="H144" s="1520"/>
      <c r="I144" s="1628"/>
      <c r="J144" s="1627">
        <v>9.67</v>
      </c>
      <c r="K144" s="1628" t="s">
        <v>1018</v>
      </c>
    </row>
    <row r="145" spans="2:11" ht="30">
      <c r="B145" s="1632">
        <f t="shared" si="2"/>
        <v>144</v>
      </c>
      <c r="C145" s="1516" t="s">
        <v>2718</v>
      </c>
      <c r="D145" s="1630" t="s">
        <v>976</v>
      </c>
      <c r="E145" s="1629" t="s">
        <v>2719</v>
      </c>
      <c r="F145" s="1627">
        <v>7.41</v>
      </c>
      <c r="G145" s="1629" t="s">
        <v>2719</v>
      </c>
      <c r="H145" s="1633"/>
      <c r="I145" s="1633"/>
      <c r="J145" s="1627">
        <v>8.25</v>
      </c>
      <c r="K145" s="1633" t="s">
        <v>1018</v>
      </c>
    </row>
    <row r="146" spans="2:11" ht="30">
      <c r="B146" s="1632">
        <f t="shared" si="2"/>
        <v>145</v>
      </c>
      <c r="C146" s="1516" t="s">
        <v>2740</v>
      </c>
      <c r="D146" s="1630" t="s">
        <v>976</v>
      </c>
      <c r="E146" s="1633"/>
      <c r="F146" s="744"/>
      <c r="G146" s="1633"/>
      <c r="H146" s="1633"/>
      <c r="I146" s="1633"/>
      <c r="J146" s="1633">
        <v>0.85</v>
      </c>
      <c r="K146" s="1633" t="s">
        <v>1018</v>
      </c>
    </row>
    <row r="149" spans="2:11">
      <c r="I149" s="280" t="s">
        <v>2703</v>
      </c>
    </row>
  </sheetData>
  <mergeCells count="18">
    <mergeCell ref="E82:E86"/>
    <mergeCell ref="F82:F86"/>
    <mergeCell ref="G82:G86"/>
    <mergeCell ref="H82:H86"/>
    <mergeCell ref="E91:E94"/>
    <mergeCell ref="F91:F94"/>
    <mergeCell ref="G91:G94"/>
    <mergeCell ref="H91:H94"/>
    <mergeCell ref="E3:E6"/>
    <mergeCell ref="F3:F6"/>
    <mergeCell ref="G3:G6"/>
    <mergeCell ref="H3:H6"/>
    <mergeCell ref="J3:J6"/>
    <mergeCell ref="E7:E9"/>
    <mergeCell ref="F7:F9"/>
    <mergeCell ref="G7:G9"/>
    <mergeCell ref="H7:H9"/>
    <mergeCell ref="J7:J9"/>
  </mergeCells>
  <conditionalFormatting sqref="E12">
    <cfRule type="cellIs" dxfId="8" priority="8" operator="lessThan">
      <formula>0</formula>
    </cfRule>
  </conditionalFormatting>
  <conditionalFormatting sqref="G12">
    <cfRule type="cellIs" dxfId="7" priority="4" operator="lessThan">
      <formula>0</formula>
    </cfRule>
  </conditionalFormatting>
  <conditionalFormatting sqref="I12">
    <cfRule type="cellIs" dxfId="6" priority="3" operator="lessThan">
      <formula>0</formula>
    </cfRule>
  </conditionalFormatting>
  <conditionalFormatting sqref="H12">
    <cfRule type="cellIs" dxfId="5" priority="2" operator="lessThan">
      <formula>0</formula>
    </cfRule>
  </conditionalFormatting>
  <pageMargins left="0.70866141732283472" right="0.70866141732283472" top="0.74803149606299213" bottom="0.74803149606299213" header="0.31496062992125984" footer="0.31496062992125984"/>
  <pageSetup paperSize="9" scale="46"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J33"/>
  <sheetViews>
    <sheetView showGridLines="0" view="pageBreakPreview" zoomScale="60" zoomScaleNormal="100" workbookViewId="0">
      <selection activeCell="B5" sqref="B5:G17"/>
    </sheetView>
  </sheetViews>
  <sheetFormatPr defaultRowHeight="15"/>
  <cols>
    <col min="1" max="1" width="6" style="148" bestFit="1" customWidth="1"/>
    <col min="2" max="2" width="13.5703125" style="148" customWidth="1"/>
    <col min="3" max="3" width="24.42578125" style="148" customWidth="1"/>
    <col min="4" max="4" width="19.7109375" style="148" customWidth="1"/>
    <col min="5" max="5" width="17" style="148" customWidth="1"/>
    <col min="6" max="6" width="16.140625" style="148" customWidth="1"/>
    <col min="7" max="7" width="13.7109375" style="148" customWidth="1"/>
    <col min="8" max="8" width="14" style="148" hidden="1" customWidth="1"/>
    <col min="9" max="12" width="0" style="148" hidden="1" customWidth="1"/>
    <col min="13" max="256" width="9.140625" style="148"/>
    <col min="257" max="258" width="6" style="148" bestFit="1" customWidth="1"/>
    <col min="259" max="259" width="24.42578125" style="148" customWidth="1"/>
    <col min="260" max="260" width="19.7109375" style="148" customWidth="1"/>
    <col min="261" max="261" width="14.42578125" style="148" customWidth="1"/>
    <col min="262" max="262" width="15.42578125" style="148" customWidth="1"/>
    <col min="263" max="263" width="10.42578125" style="148" bestFit="1" customWidth="1"/>
    <col min="264" max="264" width="14" style="148" customWidth="1"/>
    <col min="265" max="512" width="9.140625" style="148"/>
    <col min="513" max="514" width="6" style="148" bestFit="1" customWidth="1"/>
    <col min="515" max="515" width="24.42578125" style="148" customWidth="1"/>
    <col min="516" max="516" width="19.7109375" style="148" customWidth="1"/>
    <col min="517" max="517" width="14.42578125" style="148" customWidth="1"/>
    <col min="518" max="518" width="15.42578125" style="148" customWidth="1"/>
    <col min="519" max="519" width="10.42578125" style="148" bestFit="1" customWidth="1"/>
    <col min="520" max="520" width="14" style="148" customWidth="1"/>
    <col min="521" max="768" width="9.140625" style="148"/>
    <col min="769" max="770" width="6" style="148" bestFit="1" customWidth="1"/>
    <col min="771" max="771" width="24.42578125" style="148" customWidth="1"/>
    <col min="772" max="772" width="19.7109375" style="148" customWidth="1"/>
    <col min="773" max="773" width="14.42578125" style="148" customWidth="1"/>
    <col min="774" max="774" width="15.42578125" style="148" customWidth="1"/>
    <col min="775" max="775" width="10.42578125" style="148" bestFit="1" customWidth="1"/>
    <col min="776" max="776" width="14" style="148" customWidth="1"/>
    <col min="777" max="1024" width="9.140625" style="148"/>
    <col min="1025" max="1026" width="6" style="148" bestFit="1" customWidth="1"/>
    <col min="1027" max="1027" width="24.42578125" style="148" customWidth="1"/>
    <col min="1028" max="1028" width="19.7109375" style="148" customWidth="1"/>
    <col min="1029" max="1029" width="14.42578125" style="148" customWidth="1"/>
    <col min="1030" max="1030" width="15.42578125" style="148" customWidth="1"/>
    <col min="1031" max="1031" width="10.42578125" style="148" bestFit="1" customWidth="1"/>
    <col min="1032" max="1032" width="14" style="148" customWidth="1"/>
    <col min="1033" max="1280" width="9.140625" style="148"/>
    <col min="1281" max="1282" width="6" style="148" bestFit="1" customWidth="1"/>
    <col min="1283" max="1283" width="24.42578125" style="148" customWidth="1"/>
    <col min="1284" max="1284" width="19.7109375" style="148" customWidth="1"/>
    <col min="1285" max="1285" width="14.42578125" style="148" customWidth="1"/>
    <col min="1286" max="1286" width="15.42578125" style="148" customWidth="1"/>
    <col min="1287" max="1287" width="10.42578125" style="148" bestFit="1" customWidth="1"/>
    <col min="1288" max="1288" width="14" style="148" customWidth="1"/>
    <col min="1289" max="1536" width="9.140625" style="148"/>
    <col min="1537" max="1538" width="6" style="148" bestFit="1" customWidth="1"/>
    <col min="1539" max="1539" width="24.42578125" style="148" customWidth="1"/>
    <col min="1540" max="1540" width="19.7109375" style="148" customWidth="1"/>
    <col min="1541" max="1541" width="14.42578125" style="148" customWidth="1"/>
    <col min="1542" max="1542" width="15.42578125" style="148" customWidth="1"/>
    <col min="1543" max="1543" width="10.42578125" style="148" bestFit="1" customWidth="1"/>
    <col min="1544" max="1544" width="14" style="148" customWidth="1"/>
    <col min="1545" max="1792" width="9.140625" style="148"/>
    <col min="1793" max="1794" width="6" style="148" bestFit="1" customWidth="1"/>
    <col min="1795" max="1795" width="24.42578125" style="148" customWidth="1"/>
    <col min="1796" max="1796" width="19.7109375" style="148" customWidth="1"/>
    <col min="1797" max="1797" width="14.42578125" style="148" customWidth="1"/>
    <col min="1798" max="1798" width="15.42578125" style="148" customWidth="1"/>
    <col min="1799" max="1799" width="10.42578125" style="148" bestFit="1" customWidth="1"/>
    <col min="1800" max="1800" width="14" style="148" customWidth="1"/>
    <col min="1801" max="2048" width="9.140625" style="148"/>
    <col min="2049" max="2050" width="6" style="148" bestFit="1" customWidth="1"/>
    <col min="2051" max="2051" width="24.42578125" style="148" customWidth="1"/>
    <col min="2052" max="2052" width="19.7109375" style="148" customWidth="1"/>
    <col min="2053" max="2053" width="14.42578125" style="148" customWidth="1"/>
    <col min="2054" max="2054" width="15.42578125" style="148" customWidth="1"/>
    <col min="2055" max="2055" width="10.42578125" style="148" bestFit="1" customWidth="1"/>
    <col min="2056" max="2056" width="14" style="148" customWidth="1"/>
    <col min="2057" max="2304" width="9.140625" style="148"/>
    <col min="2305" max="2306" width="6" style="148" bestFit="1" customWidth="1"/>
    <col min="2307" max="2307" width="24.42578125" style="148" customWidth="1"/>
    <col min="2308" max="2308" width="19.7109375" style="148" customWidth="1"/>
    <col min="2309" max="2309" width="14.42578125" style="148" customWidth="1"/>
    <col min="2310" max="2310" width="15.42578125" style="148" customWidth="1"/>
    <col min="2311" max="2311" width="10.42578125" style="148" bestFit="1" customWidth="1"/>
    <col min="2312" max="2312" width="14" style="148" customWidth="1"/>
    <col min="2313" max="2560" width="9.140625" style="148"/>
    <col min="2561" max="2562" width="6" style="148" bestFit="1" customWidth="1"/>
    <col min="2563" max="2563" width="24.42578125" style="148" customWidth="1"/>
    <col min="2564" max="2564" width="19.7109375" style="148" customWidth="1"/>
    <col min="2565" max="2565" width="14.42578125" style="148" customWidth="1"/>
    <col min="2566" max="2566" width="15.42578125" style="148" customWidth="1"/>
    <col min="2567" max="2567" width="10.42578125" style="148" bestFit="1" customWidth="1"/>
    <col min="2568" max="2568" width="14" style="148" customWidth="1"/>
    <col min="2569" max="2816" width="9.140625" style="148"/>
    <col min="2817" max="2818" width="6" style="148" bestFit="1" customWidth="1"/>
    <col min="2819" max="2819" width="24.42578125" style="148" customWidth="1"/>
    <col min="2820" max="2820" width="19.7109375" style="148" customWidth="1"/>
    <col min="2821" max="2821" width="14.42578125" style="148" customWidth="1"/>
    <col min="2822" max="2822" width="15.42578125" style="148" customWidth="1"/>
    <col min="2823" max="2823" width="10.42578125" style="148" bestFit="1" customWidth="1"/>
    <col min="2824" max="2824" width="14" style="148" customWidth="1"/>
    <col min="2825" max="3072" width="9.140625" style="148"/>
    <col min="3073" max="3074" width="6" style="148" bestFit="1" customWidth="1"/>
    <col min="3075" max="3075" width="24.42578125" style="148" customWidth="1"/>
    <col min="3076" max="3076" width="19.7109375" style="148" customWidth="1"/>
    <col min="3077" max="3077" width="14.42578125" style="148" customWidth="1"/>
    <col min="3078" max="3078" width="15.42578125" style="148" customWidth="1"/>
    <col min="3079" max="3079" width="10.42578125" style="148" bestFit="1" customWidth="1"/>
    <col min="3080" max="3080" width="14" style="148" customWidth="1"/>
    <col min="3081" max="3328" width="9.140625" style="148"/>
    <col min="3329" max="3330" width="6" style="148" bestFit="1" customWidth="1"/>
    <col min="3331" max="3331" width="24.42578125" style="148" customWidth="1"/>
    <col min="3332" max="3332" width="19.7109375" style="148" customWidth="1"/>
    <col min="3333" max="3333" width="14.42578125" style="148" customWidth="1"/>
    <col min="3334" max="3334" width="15.42578125" style="148" customWidth="1"/>
    <col min="3335" max="3335" width="10.42578125" style="148" bestFit="1" customWidth="1"/>
    <col min="3336" max="3336" width="14" style="148" customWidth="1"/>
    <col min="3337" max="3584" width="9.140625" style="148"/>
    <col min="3585" max="3586" width="6" style="148" bestFit="1" customWidth="1"/>
    <col min="3587" max="3587" width="24.42578125" style="148" customWidth="1"/>
    <col min="3588" max="3588" width="19.7109375" style="148" customWidth="1"/>
    <col min="3589" max="3589" width="14.42578125" style="148" customWidth="1"/>
    <col min="3590" max="3590" width="15.42578125" style="148" customWidth="1"/>
    <col min="3591" max="3591" width="10.42578125" style="148" bestFit="1" customWidth="1"/>
    <col min="3592" max="3592" width="14" style="148" customWidth="1"/>
    <col min="3593" max="3840" width="9.140625" style="148"/>
    <col min="3841" max="3842" width="6" style="148" bestFit="1" customWidth="1"/>
    <col min="3843" max="3843" width="24.42578125" style="148" customWidth="1"/>
    <col min="3844" max="3844" width="19.7109375" style="148" customWidth="1"/>
    <col min="3845" max="3845" width="14.42578125" style="148" customWidth="1"/>
    <col min="3846" max="3846" width="15.42578125" style="148" customWidth="1"/>
    <col min="3847" max="3847" width="10.42578125" style="148" bestFit="1" customWidth="1"/>
    <col min="3848" max="3848" width="14" style="148" customWidth="1"/>
    <col min="3849" max="4096" width="9.140625" style="148"/>
    <col min="4097" max="4098" width="6" style="148" bestFit="1" customWidth="1"/>
    <col min="4099" max="4099" width="24.42578125" style="148" customWidth="1"/>
    <col min="4100" max="4100" width="19.7109375" style="148" customWidth="1"/>
    <col min="4101" max="4101" width="14.42578125" style="148" customWidth="1"/>
    <col min="4102" max="4102" width="15.42578125" style="148" customWidth="1"/>
    <col min="4103" max="4103" width="10.42578125" style="148" bestFit="1" customWidth="1"/>
    <col min="4104" max="4104" width="14" style="148" customWidth="1"/>
    <col min="4105" max="4352" width="9.140625" style="148"/>
    <col min="4353" max="4354" width="6" style="148" bestFit="1" customWidth="1"/>
    <col min="4355" max="4355" width="24.42578125" style="148" customWidth="1"/>
    <col min="4356" max="4356" width="19.7109375" style="148" customWidth="1"/>
    <col min="4357" max="4357" width="14.42578125" style="148" customWidth="1"/>
    <col min="4358" max="4358" width="15.42578125" style="148" customWidth="1"/>
    <col min="4359" max="4359" width="10.42578125" style="148" bestFit="1" customWidth="1"/>
    <col min="4360" max="4360" width="14" style="148" customWidth="1"/>
    <col min="4361" max="4608" width="9.140625" style="148"/>
    <col min="4609" max="4610" width="6" style="148" bestFit="1" customWidth="1"/>
    <col min="4611" max="4611" width="24.42578125" style="148" customWidth="1"/>
    <col min="4612" max="4612" width="19.7109375" style="148" customWidth="1"/>
    <col min="4613" max="4613" width="14.42578125" style="148" customWidth="1"/>
    <col min="4614" max="4614" width="15.42578125" style="148" customWidth="1"/>
    <col min="4615" max="4615" width="10.42578125" style="148" bestFit="1" customWidth="1"/>
    <col min="4616" max="4616" width="14" style="148" customWidth="1"/>
    <col min="4617" max="4864" width="9.140625" style="148"/>
    <col min="4865" max="4866" width="6" style="148" bestFit="1" customWidth="1"/>
    <col min="4867" max="4867" width="24.42578125" style="148" customWidth="1"/>
    <col min="4868" max="4868" width="19.7109375" style="148" customWidth="1"/>
    <col min="4869" max="4869" width="14.42578125" style="148" customWidth="1"/>
    <col min="4870" max="4870" width="15.42578125" style="148" customWidth="1"/>
    <col min="4871" max="4871" width="10.42578125" style="148" bestFit="1" customWidth="1"/>
    <col min="4872" max="4872" width="14" style="148" customWidth="1"/>
    <col min="4873" max="5120" width="9.140625" style="148"/>
    <col min="5121" max="5122" width="6" style="148" bestFit="1" customWidth="1"/>
    <col min="5123" max="5123" width="24.42578125" style="148" customWidth="1"/>
    <col min="5124" max="5124" width="19.7109375" style="148" customWidth="1"/>
    <col min="5125" max="5125" width="14.42578125" style="148" customWidth="1"/>
    <col min="5126" max="5126" width="15.42578125" style="148" customWidth="1"/>
    <col min="5127" max="5127" width="10.42578125" style="148" bestFit="1" customWidth="1"/>
    <col min="5128" max="5128" width="14" style="148" customWidth="1"/>
    <col min="5129" max="5376" width="9.140625" style="148"/>
    <col min="5377" max="5378" width="6" style="148" bestFit="1" customWidth="1"/>
    <col min="5379" max="5379" width="24.42578125" style="148" customWidth="1"/>
    <col min="5380" max="5380" width="19.7109375" style="148" customWidth="1"/>
    <col min="5381" max="5381" width="14.42578125" style="148" customWidth="1"/>
    <col min="5382" max="5382" width="15.42578125" style="148" customWidth="1"/>
    <col min="5383" max="5383" width="10.42578125" style="148" bestFit="1" customWidth="1"/>
    <col min="5384" max="5384" width="14" style="148" customWidth="1"/>
    <col min="5385" max="5632" width="9.140625" style="148"/>
    <col min="5633" max="5634" width="6" style="148" bestFit="1" customWidth="1"/>
    <col min="5635" max="5635" width="24.42578125" style="148" customWidth="1"/>
    <col min="5636" max="5636" width="19.7109375" style="148" customWidth="1"/>
    <col min="5637" max="5637" width="14.42578125" style="148" customWidth="1"/>
    <col min="5638" max="5638" width="15.42578125" style="148" customWidth="1"/>
    <col min="5639" max="5639" width="10.42578125" style="148" bestFit="1" customWidth="1"/>
    <col min="5640" max="5640" width="14" style="148" customWidth="1"/>
    <col min="5641" max="5888" width="9.140625" style="148"/>
    <col min="5889" max="5890" width="6" style="148" bestFit="1" customWidth="1"/>
    <col min="5891" max="5891" width="24.42578125" style="148" customWidth="1"/>
    <col min="5892" max="5892" width="19.7109375" style="148" customWidth="1"/>
    <col min="5893" max="5893" width="14.42578125" style="148" customWidth="1"/>
    <col min="5894" max="5894" width="15.42578125" style="148" customWidth="1"/>
    <col min="5895" max="5895" width="10.42578125" style="148" bestFit="1" customWidth="1"/>
    <col min="5896" max="5896" width="14" style="148" customWidth="1"/>
    <col min="5897" max="6144" width="9.140625" style="148"/>
    <col min="6145" max="6146" width="6" style="148" bestFit="1" customWidth="1"/>
    <col min="6147" max="6147" width="24.42578125" style="148" customWidth="1"/>
    <col min="6148" max="6148" width="19.7109375" style="148" customWidth="1"/>
    <col min="6149" max="6149" width="14.42578125" style="148" customWidth="1"/>
    <col min="6150" max="6150" width="15.42578125" style="148" customWidth="1"/>
    <col min="6151" max="6151" width="10.42578125" style="148" bestFit="1" customWidth="1"/>
    <col min="6152" max="6152" width="14" style="148" customWidth="1"/>
    <col min="6153" max="6400" width="9.140625" style="148"/>
    <col min="6401" max="6402" width="6" style="148" bestFit="1" customWidth="1"/>
    <col min="6403" max="6403" width="24.42578125" style="148" customWidth="1"/>
    <col min="6404" max="6404" width="19.7109375" style="148" customWidth="1"/>
    <col min="6405" max="6405" width="14.42578125" style="148" customWidth="1"/>
    <col min="6406" max="6406" width="15.42578125" style="148" customWidth="1"/>
    <col min="6407" max="6407" width="10.42578125" style="148" bestFit="1" customWidth="1"/>
    <col min="6408" max="6408" width="14" style="148" customWidth="1"/>
    <col min="6409" max="6656" width="9.140625" style="148"/>
    <col min="6657" max="6658" width="6" style="148" bestFit="1" customWidth="1"/>
    <col min="6659" max="6659" width="24.42578125" style="148" customWidth="1"/>
    <col min="6660" max="6660" width="19.7109375" style="148" customWidth="1"/>
    <col min="6661" max="6661" width="14.42578125" style="148" customWidth="1"/>
    <col min="6662" max="6662" width="15.42578125" style="148" customWidth="1"/>
    <col min="6663" max="6663" width="10.42578125" style="148" bestFit="1" customWidth="1"/>
    <col min="6664" max="6664" width="14" style="148" customWidth="1"/>
    <col min="6665" max="6912" width="9.140625" style="148"/>
    <col min="6913" max="6914" width="6" style="148" bestFit="1" customWidth="1"/>
    <col min="6915" max="6915" width="24.42578125" style="148" customWidth="1"/>
    <col min="6916" max="6916" width="19.7109375" style="148" customWidth="1"/>
    <col min="6917" max="6917" width="14.42578125" style="148" customWidth="1"/>
    <col min="6918" max="6918" width="15.42578125" style="148" customWidth="1"/>
    <col min="6919" max="6919" width="10.42578125" style="148" bestFit="1" customWidth="1"/>
    <col min="6920" max="6920" width="14" style="148" customWidth="1"/>
    <col min="6921" max="7168" width="9.140625" style="148"/>
    <col min="7169" max="7170" width="6" style="148" bestFit="1" customWidth="1"/>
    <col min="7171" max="7171" width="24.42578125" style="148" customWidth="1"/>
    <col min="7172" max="7172" width="19.7109375" style="148" customWidth="1"/>
    <col min="7173" max="7173" width="14.42578125" style="148" customWidth="1"/>
    <col min="7174" max="7174" width="15.42578125" style="148" customWidth="1"/>
    <col min="7175" max="7175" width="10.42578125" style="148" bestFit="1" customWidth="1"/>
    <col min="7176" max="7176" width="14" style="148" customWidth="1"/>
    <col min="7177" max="7424" width="9.140625" style="148"/>
    <col min="7425" max="7426" width="6" style="148" bestFit="1" customWidth="1"/>
    <col min="7427" max="7427" width="24.42578125" style="148" customWidth="1"/>
    <col min="7428" max="7428" width="19.7109375" style="148" customWidth="1"/>
    <col min="7429" max="7429" width="14.42578125" style="148" customWidth="1"/>
    <col min="7430" max="7430" width="15.42578125" style="148" customWidth="1"/>
    <col min="7431" max="7431" width="10.42578125" style="148" bestFit="1" customWidth="1"/>
    <col min="7432" max="7432" width="14" style="148" customWidth="1"/>
    <col min="7433" max="7680" width="9.140625" style="148"/>
    <col min="7681" max="7682" width="6" style="148" bestFit="1" customWidth="1"/>
    <col min="7683" max="7683" width="24.42578125" style="148" customWidth="1"/>
    <col min="7684" max="7684" width="19.7109375" style="148" customWidth="1"/>
    <col min="7685" max="7685" width="14.42578125" style="148" customWidth="1"/>
    <col min="7686" max="7686" width="15.42578125" style="148" customWidth="1"/>
    <col min="7687" max="7687" width="10.42578125" style="148" bestFit="1" customWidth="1"/>
    <col min="7688" max="7688" width="14" style="148" customWidth="1"/>
    <col min="7689" max="7936" width="9.140625" style="148"/>
    <col min="7937" max="7938" width="6" style="148" bestFit="1" customWidth="1"/>
    <col min="7939" max="7939" width="24.42578125" style="148" customWidth="1"/>
    <col min="7940" max="7940" width="19.7109375" style="148" customWidth="1"/>
    <col min="7941" max="7941" width="14.42578125" style="148" customWidth="1"/>
    <col min="7942" max="7942" width="15.42578125" style="148" customWidth="1"/>
    <col min="7943" max="7943" width="10.42578125" style="148" bestFit="1" customWidth="1"/>
    <col min="7944" max="7944" width="14" style="148" customWidth="1"/>
    <col min="7945" max="8192" width="9.140625" style="148"/>
    <col min="8193" max="8194" width="6" style="148" bestFit="1" customWidth="1"/>
    <col min="8195" max="8195" width="24.42578125" style="148" customWidth="1"/>
    <col min="8196" max="8196" width="19.7109375" style="148" customWidth="1"/>
    <col min="8197" max="8197" width="14.42578125" style="148" customWidth="1"/>
    <col min="8198" max="8198" width="15.42578125" style="148" customWidth="1"/>
    <col min="8199" max="8199" width="10.42578125" style="148" bestFit="1" customWidth="1"/>
    <col min="8200" max="8200" width="14" style="148" customWidth="1"/>
    <col min="8201" max="8448" width="9.140625" style="148"/>
    <col min="8449" max="8450" width="6" style="148" bestFit="1" customWidth="1"/>
    <col min="8451" max="8451" width="24.42578125" style="148" customWidth="1"/>
    <col min="8452" max="8452" width="19.7109375" style="148" customWidth="1"/>
    <col min="8453" max="8453" width="14.42578125" style="148" customWidth="1"/>
    <col min="8454" max="8454" width="15.42578125" style="148" customWidth="1"/>
    <col min="8455" max="8455" width="10.42578125" style="148" bestFit="1" customWidth="1"/>
    <col min="8456" max="8456" width="14" style="148" customWidth="1"/>
    <col min="8457" max="8704" width="9.140625" style="148"/>
    <col min="8705" max="8706" width="6" style="148" bestFit="1" customWidth="1"/>
    <col min="8707" max="8707" width="24.42578125" style="148" customWidth="1"/>
    <col min="8708" max="8708" width="19.7109375" style="148" customWidth="1"/>
    <col min="8709" max="8709" width="14.42578125" style="148" customWidth="1"/>
    <col min="8710" max="8710" width="15.42578125" style="148" customWidth="1"/>
    <col min="8711" max="8711" width="10.42578125" style="148" bestFit="1" customWidth="1"/>
    <col min="8712" max="8712" width="14" style="148" customWidth="1"/>
    <col min="8713" max="8960" width="9.140625" style="148"/>
    <col min="8961" max="8962" width="6" style="148" bestFit="1" customWidth="1"/>
    <col min="8963" max="8963" width="24.42578125" style="148" customWidth="1"/>
    <col min="8964" max="8964" width="19.7109375" style="148" customWidth="1"/>
    <col min="8965" max="8965" width="14.42578125" style="148" customWidth="1"/>
    <col min="8966" max="8966" width="15.42578125" style="148" customWidth="1"/>
    <col min="8967" max="8967" width="10.42578125" style="148" bestFit="1" customWidth="1"/>
    <col min="8968" max="8968" width="14" style="148" customWidth="1"/>
    <col min="8969" max="9216" width="9.140625" style="148"/>
    <col min="9217" max="9218" width="6" style="148" bestFit="1" customWidth="1"/>
    <col min="9219" max="9219" width="24.42578125" style="148" customWidth="1"/>
    <col min="9220" max="9220" width="19.7109375" style="148" customWidth="1"/>
    <col min="9221" max="9221" width="14.42578125" style="148" customWidth="1"/>
    <col min="9222" max="9222" width="15.42578125" style="148" customWidth="1"/>
    <col min="9223" max="9223" width="10.42578125" style="148" bestFit="1" customWidth="1"/>
    <col min="9224" max="9224" width="14" style="148" customWidth="1"/>
    <col min="9225" max="9472" width="9.140625" style="148"/>
    <col min="9473" max="9474" width="6" style="148" bestFit="1" customWidth="1"/>
    <col min="9475" max="9475" width="24.42578125" style="148" customWidth="1"/>
    <col min="9476" max="9476" width="19.7109375" style="148" customWidth="1"/>
    <col min="9477" max="9477" width="14.42578125" style="148" customWidth="1"/>
    <col min="9478" max="9478" width="15.42578125" style="148" customWidth="1"/>
    <col min="9479" max="9479" width="10.42578125" style="148" bestFit="1" customWidth="1"/>
    <col min="9480" max="9480" width="14" style="148" customWidth="1"/>
    <col min="9481" max="9728" width="9.140625" style="148"/>
    <col min="9729" max="9730" width="6" style="148" bestFit="1" customWidth="1"/>
    <col min="9731" max="9731" width="24.42578125" style="148" customWidth="1"/>
    <col min="9732" max="9732" width="19.7109375" style="148" customWidth="1"/>
    <col min="9733" max="9733" width="14.42578125" style="148" customWidth="1"/>
    <col min="9734" max="9734" width="15.42578125" style="148" customWidth="1"/>
    <col min="9735" max="9735" width="10.42578125" style="148" bestFit="1" customWidth="1"/>
    <col min="9736" max="9736" width="14" style="148" customWidth="1"/>
    <col min="9737" max="9984" width="9.140625" style="148"/>
    <col min="9985" max="9986" width="6" style="148" bestFit="1" customWidth="1"/>
    <col min="9987" max="9987" width="24.42578125" style="148" customWidth="1"/>
    <col min="9988" max="9988" width="19.7109375" style="148" customWidth="1"/>
    <col min="9989" max="9989" width="14.42578125" style="148" customWidth="1"/>
    <col min="9990" max="9990" width="15.42578125" style="148" customWidth="1"/>
    <col min="9991" max="9991" width="10.42578125" style="148" bestFit="1" customWidth="1"/>
    <col min="9992" max="9992" width="14" style="148" customWidth="1"/>
    <col min="9993" max="10240" width="9.140625" style="148"/>
    <col min="10241" max="10242" width="6" style="148" bestFit="1" customWidth="1"/>
    <col min="10243" max="10243" width="24.42578125" style="148" customWidth="1"/>
    <col min="10244" max="10244" width="19.7109375" style="148" customWidth="1"/>
    <col min="10245" max="10245" width="14.42578125" style="148" customWidth="1"/>
    <col min="10246" max="10246" width="15.42578125" style="148" customWidth="1"/>
    <col min="10247" max="10247" width="10.42578125" style="148" bestFit="1" customWidth="1"/>
    <col min="10248" max="10248" width="14" style="148" customWidth="1"/>
    <col min="10249" max="10496" width="9.140625" style="148"/>
    <col min="10497" max="10498" width="6" style="148" bestFit="1" customWidth="1"/>
    <col min="10499" max="10499" width="24.42578125" style="148" customWidth="1"/>
    <col min="10500" max="10500" width="19.7109375" style="148" customWidth="1"/>
    <col min="10501" max="10501" width="14.42578125" style="148" customWidth="1"/>
    <col min="10502" max="10502" width="15.42578125" style="148" customWidth="1"/>
    <col min="10503" max="10503" width="10.42578125" style="148" bestFit="1" customWidth="1"/>
    <col min="10504" max="10504" width="14" style="148" customWidth="1"/>
    <col min="10505" max="10752" width="9.140625" style="148"/>
    <col min="10753" max="10754" width="6" style="148" bestFit="1" customWidth="1"/>
    <col min="10755" max="10755" width="24.42578125" style="148" customWidth="1"/>
    <col min="10756" max="10756" width="19.7109375" style="148" customWidth="1"/>
    <col min="10757" max="10757" width="14.42578125" style="148" customWidth="1"/>
    <col min="10758" max="10758" width="15.42578125" style="148" customWidth="1"/>
    <col min="10759" max="10759" width="10.42578125" style="148" bestFit="1" customWidth="1"/>
    <col min="10760" max="10760" width="14" style="148" customWidth="1"/>
    <col min="10761" max="11008" width="9.140625" style="148"/>
    <col min="11009" max="11010" width="6" style="148" bestFit="1" customWidth="1"/>
    <col min="11011" max="11011" width="24.42578125" style="148" customWidth="1"/>
    <col min="11012" max="11012" width="19.7109375" style="148" customWidth="1"/>
    <col min="11013" max="11013" width="14.42578125" style="148" customWidth="1"/>
    <col min="11014" max="11014" width="15.42578125" style="148" customWidth="1"/>
    <col min="11015" max="11015" width="10.42578125" style="148" bestFit="1" customWidth="1"/>
    <col min="11016" max="11016" width="14" style="148" customWidth="1"/>
    <col min="11017" max="11264" width="9.140625" style="148"/>
    <col min="11265" max="11266" width="6" style="148" bestFit="1" customWidth="1"/>
    <col min="11267" max="11267" width="24.42578125" style="148" customWidth="1"/>
    <col min="11268" max="11268" width="19.7109375" style="148" customWidth="1"/>
    <col min="11269" max="11269" width="14.42578125" style="148" customWidth="1"/>
    <col min="11270" max="11270" width="15.42578125" style="148" customWidth="1"/>
    <col min="11271" max="11271" width="10.42578125" style="148" bestFit="1" customWidth="1"/>
    <col min="11272" max="11272" width="14" style="148" customWidth="1"/>
    <col min="11273" max="11520" width="9.140625" style="148"/>
    <col min="11521" max="11522" width="6" style="148" bestFit="1" customWidth="1"/>
    <col min="11523" max="11523" width="24.42578125" style="148" customWidth="1"/>
    <col min="11524" max="11524" width="19.7109375" style="148" customWidth="1"/>
    <col min="11525" max="11525" width="14.42578125" style="148" customWidth="1"/>
    <col min="11526" max="11526" width="15.42578125" style="148" customWidth="1"/>
    <col min="11527" max="11527" width="10.42578125" style="148" bestFit="1" customWidth="1"/>
    <col min="11528" max="11528" width="14" style="148" customWidth="1"/>
    <col min="11529" max="11776" width="9.140625" style="148"/>
    <col min="11777" max="11778" width="6" style="148" bestFit="1" customWidth="1"/>
    <col min="11779" max="11779" width="24.42578125" style="148" customWidth="1"/>
    <col min="11780" max="11780" width="19.7109375" style="148" customWidth="1"/>
    <col min="11781" max="11781" width="14.42578125" style="148" customWidth="1"/>
    <col min="11782" max="11782" width="15.42578125" style="148" customWidth="1"/>
    <col min="11783" max="11783" width="10.42578125" style="148" bestFit="1" customWidth="1"/>
    <col min="11784" max="11784" width="14" style="148" customWidth="1"/>
    <col min="11785" max="12032" width="9.140625" style="148"/>
    <col min="12033" max="12034" width="6" style="148" bestFit="1" customWidth="1"/>
    <col min="12035" max="12035" width="24.42578125" style="148" customWidth="1"/>
    <col min="12036" max="12036" width="19.7109375" style="148" customWidth="1"/>
    <col min="12037" max="12037" width="14.42578125" style="148" customWidth="1"/>
    <col min="12038" max="12038" width="15.42578125" style="148" customWidth="1"/>
    <col min="12039" max="12039" width="10.42578125" style="148" bestFit="1" customWidth="1"/>
    <col min="12040" max="12040" width="14" style="148" customWidth="1"/>
    <col min="12041" max="12288" width="9.140625" style="148"/>
    <col min="12289" max="12290" width="6" style="148" bestFit="1" customWidth="1"/>
    <col min="12291" max="12291" width="24.42578125" style="148" customWidth="1"/>
    <col min="12292" max="12292" width="19.7109375" style="148" customWidth="1"/>
    <col min="12293" max="12293" width="14.42578125" style="148" customWidth="1"/>
    <col min="12294" max="12294" width="15.42578125" style="148" customWidth="1"/>
    <col min="12295" max="12295" width="10.42578125" style="148" bestFit="1" customWidth="1"/>
    <col min="12296" max="12296" width="14" style="148" customWidth="1"/>
    <col min="12297" max="12544" width="9.140625" style="148"/>
    <col min="12545" max="12546" width="6" style="148" bestFit="1" customWidth="1"/>
    <col min="12547" max="12547" width="24.42578125" style="148" customWidth="1"/>
    <col min="12548" max="12548" width="19.7109375" style="148" customWidth="1"/>
    <col min="12549" max="12549" width="14.42578125" style="148" customWidth="1"/>
    <col min="12550" max="12550" width="15.42578125" style="148" customWidth="1"/>
    <col min="12551" max="12551" width="10.42578125" style="148" bestFit="1" customWidth="1"/>
    <col min="12552" max="12552" width="14" style="148" customWidth="1"/>
    <col min="12553" max="12800" width="9.140625" style="148"/>
    <col min="12801" max="12802" width="6" style="148" bestFit="1" customWidth="1"/>
    <col min="12803" max="12803" width="24.42578125" style="148" customWidth="1"/>
    <col min="12804" max="12804" width="19.7109375" style="148" customWidth="1"/>
    <col min="12805" max="12805" width="14.42578125" style="148" customWidth="1"/>
    <col min="12806" max="12806" width="15.42578125" style="148" customWidth="1"/>
    <col min="12807" max="12807" width="10.42578125" style="148" bestFit="1" customWidth="1"/>
    <col min="12808" max="12808" width="14" style="148" customWidth="1"/>
    <col min="12809" max="13056" width="9.140625" style="148"/>
    <col min="13057" max="13058" width="6" style="148" bestFit="1" customWidth="1"/>
    <col min="13059" max="13059" width="24.42578125" style="148" customWidth="1"/>
    <col min="13060" max="13060" width="19.7109375" style="148" customWidth="1"/>
    <col min="13061" max="13061" width="14.42578125" style="148" customWidth="1"/>
    <col min="13062" max="13062" width="15.42578125" style="148" customWidth="1"/>
    <col min="13063" max="13063" width="10.42578125" style="148" bestFit="1" customWidth="1"/>
    <col min="13064" max="13064" width="14" style="148" customWidth="1"/>
    <col min="13065" max="13312" width="9.140625" style="148"/>
    <col min="13313" max="13314" width="6" style="148" bestFit="1" customWidth="1"/>
    <col min="13315" max="13315" width="24.42578125" style="148" customWidth="1"/>
    <col min="13316" max="13316" width="19.7109375" style="148" customWidth="1"/>
    <col min="13317" max="13317" width="14.42578125" style="148" customWidth="1"/>
    <col min="13318" max="13318" width="15.42578125" style="148" customWidth="1"/>
    <col min="13319" max="13319" width="10.42578125" style="148" bestFit="1" customWidth="1"/>
    <col min="13320" max="13320" width="14" style="148" customWidth="1"/>
    <col min="13321" max="13568" width="9.140625" style="148"/>
    <col min="13569" max="13570" width="6" style="148" bestFit="1" customWidth="1"/>
    <col min="13571" max="13571" width="24.42578125" style="148" customWidth="1"/>
    <col min="13572" max="13572" width="19.7109375" style="148" customWidth="1"/>
    <col min="13573" max="13573" width="14.42578125" style="148" customWidth="1"/>
    <col min="13574" max="13574" width="15.42578125" style="148" customWidth="1"/>
    <col min="13575" max="13575" width="10.42578125" style="148" bestFit="1" customWidth="1"/>
    <col min="13576" max="13576" width="14" style="148" customWidth="1"/>
    <col min="13577" max="13824" width="9.140625" style="148"/>
    <col min="13825" max="13826" width="6" style="148" bestFit="1" customWidth="1"/>
    <col min="13827" max="13827" width="24.42578125" style="148" customWidth="1"/>
    <col min="13828" max="13828" width="19.7109375" style="148" customWidth="1"/>
    <col min="13829" max="13829" width="14.42578125" style="148" customWidth="1"/>
    <col min="13830" max="13830" width="15.42578125" style="148" customWidth="1"/>
    <col min="13831" max="13831" width="10.42578125" style="148" bestFit="1" customWidth="1"/>
    <col min="13832" max="13832" width="14" style="148" customWidth="1"/>
    <col min="13833" max="14080" width="9.140625" style="148"/>
    <col min="14081" max="14082" width="6" style="148" bestFit="1" customWidth="1"/>
    <col min="14083" max="14083" width="24.42578125" style="148" customWidth="1"/>
    <col min="14084" max="14084" width="19.7109375" style="148" customWidth="1"/>
    <col min="14085" max="14085" width="14.42578125" style="148" customWidth="1"/>
    <col min="14086" max="14086" width="15.42578125" style="148" customWidth="1"/>
    <col min="14087" max="14087" width="10.42578125" style="148" bestFit="1" customWidth="1"/>
    <col min="14088" max="14088" width="14" style="148" customWidth="1"/>
    <col min="14089" max="14336" width="9.140625" style="148"/>
    <col min="14337" max="14338" width="6" style="148" bestFit="1" customWidth="1"/>
    <col min="14339" max="14339" width="24.42578125" style="148" customWidth="1"/>
    <col min="14340" max="14340" width="19.7109375" style="148" customWidth="1"/>
    <col min="14341" max="14341" width="14.42578125" style="148" customWidth="1"/>
    <col min="14342" max="14342" width="15.42578125" style="148" customWidth="1"/>
    <col min="14343" max="14343" width="10.42578125" style="148" bestFit="1" customWidth="1"/>
    <col min="14344" max="14344" width="14" style="148" customWidth="1"/>
    <col min="14345" max="14592" width="9.140625" style="148"/>
    <col min="14593" max="14594" width="6" style="148" bestFit="1" customWidth="1"/>
    <col min="14595" max="14595" width="24.42578125" style="148" customWidth="1"/>
    <col min="14596" max="14596" width="19.7109375" style="148" customWidth="1"/>
    <col min="14597" max="14597" width="14.42578125" style="148" customWidth="1"/>
    <col min="14598" max="14598" width="15.42578125" style="148" customWidth="1"/>
    <col min="14599" max="14599" width="10.42578125" style="148" bestFit="1" customWidth="1"/>
    <col min="14600" max="14600" width="14" style="148" customWidth="1"/>
    <col min="14601" max="14848" width="9.140625" style="148"/>
    <col min="14849" max="14850" width="6" style="148" bestFit="1" customWidth="1"/>
    <col min="14851" max="14851" width="24.42578125" style="148" customWidth="1"/>
    <col min="14852" max="14852" width="19.7109375" style="148" customWidth="1"/>
    <col min="14853" max="14853" width="14.42578125" style="148" customWidth="1"/>
    <col min="14854" max="14854" width="15.42578125" style="148" customWidth="1"/>
    <col min="14855" max="14855" width="10.42578125" style="148" bestFit="1" customWidth="1"/>
    <col min="14856" max="14856" width="14" style="148" customWidth="1"/>
    <col min="14857" max="15104" width="9.140625" style="148"/>
    <col min="15105" max="15106" width="6" style="148" bestFit="1" customWidth="1"/>
    <col min="15107" max="15107" width="24.42578125" style="148" customWidth="1"/>
    <col min="15108" max="15108" width="19.7109375" style="148" customWidth="1"/>
    <col min="15109" max="15109" width="14.42578125" style="148" customWidth="1"/>
    <col min="15110" max="15110" width="15.42578125" style="148" customWidth="1"/>
    <col min="15111" max="15111" width="10.42578125" style="148" bestFit="1" customWidth="1"/>
    <col min="15112" max="15112" width="14" style="148" customWidth="1"/>
    <col min="15113" max="15360" width="9.140625" style="148"/>
    <col min="15361" max="15362" width="6" style="148" bestFit="1" customWidth="1"/>
    <col min="15363" max="15363" width="24.42578125" style="148" customWidth="1"/>
    <col min="15364" max="15364" width="19.7109375" style="148" customWidth="1"/>
    <col min="15365" max="15365" width="14.42578125" style="148" customWidth="1"/>
    <col min="15366" max="15366" width="15.42578125" style="148" customWidth="1"/>
    <col min="15367" max="15367" width="10.42578125" style="148" bestFit="1" customWidth="1"/>
    <col min="15368" max="15368" width="14" style="148" customWidth="1"/>
    <col min="15369" max="15616" width="9.140625" style="148"/>
    <col min="15617" max="15618" width="6" style="148" bestFit="1" customWidth="1"/>
    <col min="15619" max="15619" width="24.42578125" style="148" customWidth="1"/>
    <col min="15620" max="15620" width="19.7109375" style="148" customWidth="1"/>
    <col min="15621" max="15621" width="14.42578125" style="148" customWidth="1"/>
    <col min="15622" max="15622" width="15.42578125" style="148" customWidth="1"/>
    <col min="15623" max="15623" width="10.42578125" style="148" bestFit="1" customWidth="1"/>
    <col min="15624" max="15624" width="14" style="148" customWidth="1"/>
    <col min="15625" max="15872" width="9.140625" style="148"/>
    <col min="15873" max="15874" width="6" style="148" bestFit="1" customWidth="1"/>
    <col min="15875" max="15875" width="24.42578125" style="148" customWidth="1"/>
    <col min="15876" max="15876" width="19.7109375" style="148" customWidth="1"/>
    <col min="15877" max="15877" width="14.42578125" style="148" customWidth="1"/>
    <col min="15878" max="15878" width="15.42578125" style="148" customWidth="1"/>
    <col min="15879" max="15879" width="10.42578125" style="148" bestFit="1" customWidth="1"/>
    <col min="15880" max="15880" width="14" style="148" customWidth="1"/>
    <col min="15881" max="16128" width="9.140625" style="148"/>
    <col min="16129" max="16130" width="6" style="148" bestFit="1" customWidth="1"/>
    <col min="16131" max="16131" width="24.42578125" style="148" customWidth="1"/>
    <col min="16132" max="16132" width="19.7109375" style="148" customWidth="1"/>
    <col min="16133" max="16133" width="14.42578125" style="148" customWidth="1"/>
    <col min="16134" max="16134" width="15.42578125" style="148" customWidth="1"/>
    <col min="16135" max="16135" width="10.42578125" style="148" bestFit="1" customWidth="1"/>
    <col min="16136" max="16136" width="14" style="148" customWidth="1"/>
    <col min="16137" max="16384" width="9.140625" style="148"/>
  </cols>
  <sheetData>
    <row r="1" spans="1:10" ht="21" customHeight="1">
      <c r="A1" s="1914" t="str">
        <f>+'F5-8'!A1:L1</f>
        <v xml:space="preserve">BIHAR STATE POWER TRANSMISSION COMPANY LIMITED </v>
      </c>
      <c r="B1" s="1914"/>
      <c r="C1" s="1914"/>
      <c r="D1" s="1914"/>
      <c r="E1" s="1914"/>
      <c r="F1" s="1914"/>
      <c r="G1" s="1914"/>
      <c r="H1" s="193"/>
      <c r="I1" s="198"/>
      <c r="J1" s="194"/>
    </row>
    <row r="2" spans="1:10" ht="21" customHeight="1">
      <c r="A2" s="1962" t="s">
        <v>884</v>
      </c>
      <c r="B2" s="1963"/>
      <c r="C2" s="1963"/>
      <c r="D2" s="1963"/>
      <c r="E2" s="1963"/>
      <c r="F2" s="1960" t="s">
        <v>857</v>
      </c>
      <c r="G2" s="1960"/>
      <c r="H2" s="194"/>
      <c r="I2" s="194"/>
      <c r="J2" s="194"/>
    </row>
    <row r="3" spans="1:10" ht="21" customHeight="1">
      <c r="F3" s="1959" t="s">
        <v>320</v>
      </c>
      <c r="G3" s="1959"/>
    </row>
    <row r="4" spans="1:10" s="200" customFormat="1" ht="75">
      <c r="A4" s="206" t="s">
        <v>150</v>
      </c>
      <c r="B4" s="207" t="s">
        <v>189</v>
      </c>
      <c r="C4" s="208" t="s">
        <v>190</v>
      </c>
      <c r="D4" s="208" t="s">
        <v>191</v>
      </c>
      <c r="E4" s="208" t="s">
        <v>192</v>
      </c>
      <c r="F4" s="207" t="s">
        <v>193</v>
      </c>
      <c r="G4" s="209" t="s">
        <v>883</v>
      </c>
    </row>
    <row r="5" spans="1:10" ht="21" customHeight="1">
      <c r="A5" s="199">
        <v>1</v>
      </c>
      <c r="B5" s="1969" t="s">
        <v>2706</v>
      </c>
      <c r="C5" s="1970"/>
      <c r="D5" s="1970"/>
      <c r="E5" s="1970"/>
      <c r="F5" s="1970"/>
      <c r="G5" s="1971"/>
    </row>
    <row r="6" spans="1:10" ht="21" customHeight="1">
      <c r="A6" s="201">
        <v>2</v>
      </c>
      <c r="B6" s="1972"/>
      <c r="C6" s="1973"/>
      <c r="D6" s="1973"/>
      <c r="E6" s="1973"/>
      <c r="F6" s="1973"/>
      <c r="G6" s="1974"/>
    </row>
    <row r="7" spans="1:10" ht="21" customHeight="1">
      <c r="A7" s="199">
        <v>3</v>
      </c>
      <c r="B7" s="1972"/>
      <c r="C7" s="1973"/>
      <c r="D7" s="1973"/>
      <c r="E7" s="1973"/>
      <c r="F7" s="1973"/>
      <c r="G7" s="1974"/>
    </row>
    <row r="8" spans="1:10" ht="21" customHeight="1">
      <c r="A8" s="201">
        <v>4</v>
      </c>
      <c r="B8" s="1972"/>
      <c r="C8" s="1973"/>
      <c r="D8" s="1973"/>
      <c r="E8" s="1973"/>
      <c r="F8" s="1973"/>
      <c r="G8" s="1974"/>
    </row>
    <row r="9" spans="1:10" ht="21" customHeight="1">
      <c r="A9" s="199">
        <v>5</v>
      </c>
      <c r="B9" s="1972"/>
      <c r="C9" s="1973"/>
      <c r="D9" s="1973"/>
      <c r="E9" s="1973"/>
      <c r="F9" s="1973"/>
      <c r="G9" s="1974"/>
    </row>
    <row r="10" spans="1:10" ht="21" customHeight="1">
      <c r="A10" s="201">
        <v>6</v>
      </c>
      <c r="B10" s="1972"/>
      <c r="C10" s="1973"/>
      <c r="D10" s="1973"/>
      <c r="E10" s="1973"/>
      <c r="F10" s="1973"/>
      <c r="G10" s="1974"/>
    </row>
    <row r="11" spans="1:10" ht="21" customHeight="1">
      <c r="A11" s="199">
        <v>7</v>
      </c>
      <c r="B11" s="1972"/>
      <c r="C11" s="1973"/>
      <c r="D11" s="1973"/>
      <c r="E11" s="1973"/>
      <c r="F11" s="1973"/>
      <c r="G11" s="1974"/>
    </row>
    <row r="12" spans="1:10" ht="21" customHeight="1">
      <c r="A12" s="201">
        <v>8</v>
      </c>
      <c r="B12" s="1972"/>
      <c r="C12" s="1973"/>
      <c r="D12" s="1973"/>
      <c r="E12" s="1973"/>
      <c r="F12" s="1973"/>
      <c r="G12" s="1974"/>
    </row>
    <row r="13" spans="1:10" ht="21" customHeight="1">
      <c r="A13" s="199">
        <v>9</v>
      </c>
      <c r="B13" s="1972"/>
      <c r="C13" s="1973"/>
      <c r="D13" s="1973"/>
      <c r="E13" s="1973"/>
      <c r="F13" s="1973"/>
      <c r="G13" s="1974"/>
    </row>
    <row r="14" spans="1:10" ht="21" customHeight="1">
      <c r="A14" s="201">
        <v>10</v>
      </c>
      <c r="B14" s="1972"/>
      <c r="C14" s="1973"/>
      <c r="D14" s="1973"/>
      <c r="E14" s="1973"/>
      <c r="F14" s="1973"/>
      <c r="G14" s="1974"/>
    </row>
    <row r="15" spans="1:10" ht="21" customHeight="1">
      <c r="A15" s="199">
        <v>11</v>
      </c>
      <c r="B15" s="1972"/>
      <c r="C15" s="1973"/>
      <c r="D15" s="1973"/>
      <c r="E15" s="1973"/>
      <c r="F15" s="1973"/>
      <c r="G15" s="1974"/>
    </row>
    <row r="16" spans="1:10" ht="21" customHeight="1">
      <c r="A16" s="201">
        <v>12</v>
      </c>
      <c r="B16" s="1972"/>
      <c r="C16" s="1973"/>
      <c r="D16" s="1973"/>
      <c r="E16" s="1973"/>
      <c r="F16" s="1973"/>
      <c r="G16" s="1974"/>
    </row>
    <row r="17" spans="1:7" ht="21" customHeight="1">
      <c r="A17" s="199">
        <v>13</v>
      </c>
      <c r="B17" s="1975"/>
      <c r="C17" s="1976"/>
      <c r="D17" s="1976"/>
      <c r="E17" s="1976"/>
      <c r="F17" s="1976"/>
      <c r="G17" s="1977"/>
    </row>
    <row r="18" spans="1:7" ht="21" customHeight="1" thickBot="1">
      <c r="A18" s="202"/>
      <c r="B18" s="203"/>
      <c r="C18" s="203"/>
      <c r="D18" s="204">
        <f>SUM(D5:D17)</f>
        <v>0</v>
      </c>
      <c r="E18" s="203"/>
      <c r="F18" s="203"/>
      <c r="G18" s="204">
        <f>SUM(G5:G17)</f>
        <v>0</v>
      </c>
    </row>
    <row r="19" spans="1:7" ht="21" customHeight="1" thickTop="1"/>
    <row r="20" spans="1:7" ht="21" customHeight="1">
      <c r="A20" s="1968" t="s">
        <v>194</v>
      </c>
      <c r="B20" s="1968"/>
      <c r="C20" s="194"/>
      <c r="D20" s="194"/>
      <c r="E20" s="194"/>
      <c r="F20" s="194"/>
    </row>
    <row r="21" spans="1:7" ht="32.25" customHeight="1">
      <c r="A21" s="1964" t="s">
        <v>885</v>
      </c>
      <c r="B21" s="1964"/>
      <c r="C21" s="1964"/>
      <c r="D21" s="1964"/>
      <c r="E21" s="1964"/>
      <c r="F21" s="1964"/>
      <c r="G21" s="1965"/>
    </row>
    <row r="22" spans="1:7" ht="32.25" customHeight="1">
      <c r="A22" s="1964" t="s">
        <v>886</v>
      </c>
      <c r="B22" s="1965"/>
      <c r="C22" s="1965"/>
      <c r="D22" s="1965"/>
      <c r="E22" s="1965"/>
      <c r="F22" s="1965"/>
      <c r="G22" s="1965"/>
    </row>
    <row r="23" spans="1:7" ht="21" customHeight="1">
      <c r="A23" s="1966"/>
      <c r="B23" s="1967"/>
      <c r="C23" s="1967"/>
      <c r="D23" s="1967"/>
      <c r="E23" s="1967"/>
      <c r="F23" s="1967"/>
      <c r="G23" s="1967"/>
    </row>
    <row r="24" spans="1:7" ht="21" customHeight="1">
      <c r="A24" s="194"/>
      <c r="B24" s="194"/>
      <c r="C24" s="194"/>
      <c r="D24" s="194" t="s">
        <v>195</v>
      </c>
      <c r="E24" s="1936" t="s">
        <v>401</v>
      </c>
      <c r="F24" s="1961"/>
      <c r="G24" s="1961"/>
    </row>
    <row r="25" spans="1:7" ht="21" hidden="1" customHeight="1"/>
    <row r="26" spans="1:7" ht="21" hidden="1" customHeight="1">
      <c r="A26" s="176" t="s">
        <v>187</v>
      </c>
      <c r="B26" s="176"/>
      <c r="C26" s="176"/>
      <c r="D26" s="176"/>
      <c r="E26" s="176"/>
      <c r="F26" s="176"/>
      <c r="G26" s="176"/>
    </row>
    <row r="27" spans="1:7" ht="21" hidden="1" customHeight="1">
      <c r="A27" s="205">
        <v>1</v>
      </c>
      <c r="B27" s="196" t="s">
        <v>339</v>
      </c>
      <c r="C27" s="1932" t="s">
        <v>356</v>
      </c>
      <c r="D27" s="1934"/>
      <c r="E27" s="1934"/>
      <c r="F27" s="1934"/>
      <c r="G27" s="1935"/>
    </row>
    <row r="28" spans="1:7" ht="21" hidden="1" customHeight="1">
      <c r="A28" s="205">
        <v>2</v>
      </c>
      <c r="B28" s="197" t="s">
        <v>343</v>
      </c>
      <c r="C28" s="1937">
        <v>18</v>
      </c>
      <c r="D28" s="1939"/>
      <c r="E28" s="1939"/>
      <c r="F28" s="1939"/>
      <c r="G28" s="1940"/>
    </row>
    <row r="29" spans="1:7" ht="21" hidden="1" customHeight="1">
      <c r="A29" s="205">
        <v>3</v>
      </c>
      <c r="B29" s="197" t="s">
        <v>330</v>
      </c>
      <c r="C29" s="1932"/>
      <c r="D29" s="1934"/>
      <c r="E29" s="1934"/>
      <c r="F29" s="1934"/>
      <c r="G29" s="1935"/>
    </row>
    <row r="30" spans="1:7" ht="21" hidden="1" customHeight="1">
      <c r="A30" s="205">
        <v>4</v>
      </c>
      <c r="B30" s="197" t="s">
        <v>331</v>
      </c>
      <c r="C30" s="1932"/>
      <c r="D30" s="1934"/>
      <c r="E30" s="1934"/>
      <c r="F30" s="1934"/>
      <c r="G30" s="1935"/>
    </row>
    <row r="31" spans="1:7" ht="21" hidden="1" customHeight="1">
      <c r="A31" s="205">
        <v>5</v>
      </c>
      <c r="B31" s="197" t="s">
        <v>332</v>
      </c>
      <c r="C31" s="1932"/>
      <c r="D31" s="1934"/>
      <c r="E31" s="1934"/>
      <c r="F31" s="1934"/>
      <c r="G31" s="1935"/>
    </row>
    <row r="32" spans="1:7" ht="21" hidden="1" customHeight="1"/>
    <row r="33" ht="21" customHeight="1"/>
  </sheetData>
  <mergeCells count="15">
    <mergeCell ref="C31:G31"/>
    <mergeCell ref="A1:G1"/>
    <mergeCell ref="F3:G3"/>
    <mergeCell ref="F2:G2"/>
    <mergeCell ref="C29:G29"/>
    <mergeCell ref="C30:G30"/>
    <mergeCell ref="E24:G24"/>
    <mergeCell ref="A2:E2"/>
    <mergeCell ref="C27:G27"/>
    <mergeCell ref="C28:G28"/>
    <mergeCell ref="A21:G21"/>
    <mergeCell ref="A22:G22"/>
    <mergeCell ref="A23:G23"/>
    <mergeCell ref="A20:B20"/>
    <mergeCell ref="B5:G17"/>
  </mergeCells>
  <printOptions horizontalCentered="1" verticalCentered="1"/>
  <pageMargins left="0.7" right="0.7" top="0.75" bottom="0.75" header="0.3" footer="0.3"/>
  <pageSetup paperSize="9" scale="8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pageSetUpPr fitToPage="1"/>
  </sheetPr>
  <dimension ref="A1:M18"/>
  <sheetViews>
    <sheetView showGridLines="0" view="pageBreakPreview" topLeftCell="B1" zoomScale="70" zoomScaleNormal="70" zoomScaleSheetLayoutView="70" workbookViewId="0">
      <pane xSplit="2" ySplit="5" topLeftCell="I6" activePane="bottomRight" state="frozen"/>
      <selection activeCell="B1" sqref="B1"/>
      <selection pane="topRight" activeCell="D1" sqref="D1"/>
      <selection pane="bottomLeft" activeCell="B6" sqref="B6"/>
      <selection pane="bottomRight" activeCell="I10" sqref="I10"/>
    </sheetView>
  </sheetViews>
  <sheetFormatPr defaultColWidth="9.140625" defaultRowHeight="15.75"/>
  <cols>
    <col min="1" max="1" width="3.140625" style="74" bestFit="1" customWidth="1"/>
    <col min="2" max="2" width="2.7109375" style="74" bestFit="1" customWidth="1"/>
    <col min="3" max="3" width="45.140625" style="74" bestFit="1" customWidth="1"/>
    <col min="4" max="5" width="21.28515625" style="74" customWidth="1"/>
    <col min="6" max="6" width="23.140625" style="74" bestFit="1" customWidth="1"/>
    <col min="7" max="7" width="21.42578125" style="74" hidden="1" customWidth="1"/>
    <col min="8" max="8" width="25.85546875" style="74" hidden="1" customWidth="1"/>
    <col min="9" max="9" width="17.28515625" style="74" bestFit="1" customWidth="1"/>
    <col min="10" max="10" width="17.28515625" style="841" customWidth="1"/>
    <col min="11" max="12" width="21.5703125" style="74" customWidth="1"/>
    <col min="13" max="16384" width="9.140625" style="74"/>
  </cols>
  <sheetData>
    <row r="1" spans="1:13" ht="21" customHeight="1">
      <c r="A1" s="1980" t="s">
        <v>1158</v>
      </c>
      <c r="B1" s="1980"/>
      <c r="C1" s="1980"/>
      <c r="D1" s="1980"/>
      <c r="E1" s="1980"/>
      <c r="F1" s="1980"/>
      <c r="G1" s="1980"/>
      <c r="H1" s="1980"/>
      <c r="I1" s="1980"/>
      <c r="J1" s="1980"/>
      <c r="K1" s="1980"/>
      <c r="L1" s="1980"/>
    </row>
    <row r="2" spans="1:13" ht="21" customHeight="1">
      <c r="A2" s="1986" t="s">
        <v>887</v>
      </c>
      <c r="B2" s="1986"/>
      <c r="C2" s="1986"/>
      <c r="D2" s="1987"/>
      <c r="E2" s="1987"/>
      <c r="F2" s="426"/>
      <c r="G2" s="426"/>
      <c r="H2" s="426"/>
      <c r="I2" s="1987" t="s">
        <v>857</v>
      </c>
      <c r="J2" s="1987"/>
      <c r="K2" s="1987"/>
      <c r="L2" s="1987"/>
    </row>
    <row r="3" spans="1:13" ht="21" customHeight="1">
      <c r="A3" s="423"/>
      <c r="B3" s="423"/>
      <c r="C3" s="423"/>
      <c r="D3" s="1981"/>
      <c r="E3" s="1981"/>
      <c r="F3" s="425"/>
      <c r="G3" s="425"/>
      <c r="H3" s="425"/>
      <c r="K3" s="1981" t="s">
        <v>320</v>
      </c>
      <c r="L3" s="1981"/>
    </row>
    <row r="4" spans="1:13" ht="15.75" customHeight="1">
      <c r="A4" s="1978"/>
      <c r="B4" s="1982" t="s">
        <v>48</v>
      </c>
      <c r="C4" s="1983"/>
      <c r="D4" s="1822" t="s">
        <v>1846</v>
      </c>
      <c r="E4" s="1823"/>
      <c r="F4" s="1824" t="s">
        <v>1847</v>
      </c>
      <c r="G4" s="1825"/>
      <c r="H4" s="1825"/>
      <c r="I4" s="1826"/>
      <c r="J4" s="1829" t="s">
        <v>1159</v>
      </c>
      <c r="K4" s="1830"/>
      <c r="L4" s="1831"/>
    </row>
    <row r="5" spans="1:13" ht="47.25">
      <c r="A5" s="1979"/>
      <c r="B5" s="1984"/>
      <c r="C5" s="1985"/>
      <c r="D5" s="1635" t="s">
        <v>1872</v>
      </c>
      <c r="E5" s="282" t="s">
        <v>230</v>
      </c>
      <c r="F5" s="361" t="s">
        <v>550</v>
      </c>
      <c r="G5" s="361" t="s">
        <v>1163</v>
      </c>
      <c r="H5" s="361" t="s">
        <v>1164</v>
      </c>
      <c r="I5" s="363" t="s">
        <v>1165</v>
      </c>
      <c r="J5" s="840" t="s">
        <v>1841</v>
      </c>
      <c r="K5" s="840" t="s">
        <v>1842</v>
      </c>
      <c r="L5" s="840" t="s">
        <v>1843</v>
      </c>
    </row>
    <row r="6" spans="1:13">
      <c r="A6" s="368" t="s">
        <v>137</v>
      </c>
      <c r="B6" s="368" t="s">
        <v>64</v>
      </c>
      <c r="C6" s="305" t="s">
        <v>607</v>
      </c>
      <c r="D6" s="427">
        <v>2043.16</v>
      </c>
      <c r="E6" s="427">
        <v>2284.1999999999998</v>
      </c>
      <c r="F6" s="427">
        <v>2224.16</v>
      </c>
      <c r="G6" s="432"/>
      <c r="H6" s="432"/>
      <c r="I6" s="641">
        <f>E12</f>
        <v>2888.5872344619997</v>
      </c>
      <c r="J6" s="641">
        <f>I12</f>
        <v>2444.2308170619999</v>
      </c>
      <c r="K6" s="641">
        <f>J12</f>
        <v>2174.4574837286664</v>
      </c>
      <c r="L6" s="641">
        <f>K12</f>
        <v>1589.2110170619999</v>
      </c>
    </row>
    <row r="7" spans="1:13" ht="31.5">
      <c r="A7" s="368"/>
      <c r="B7" s="368" t="s">
        <v>65</v>
      </c>
      <c r="C7" s="305" t="s">
        <v>198</v>
      </c>
      <c r="D7" s="428">
        <v>0</v>
      </c>
      <c r="E7" s="428">
        <v>0</v>
      </c>
      <c r="F7" s="428">
        <v>0</v>
      </c>
      <c r="G7" s="428">
        <v>0</v>
      </c>
      <c r="H7" s="428">
        <v>0</v>
      </c>
      <c r="I7" s="428">
        <v>0</v>
      </c>
      <c r="J7" s="428">
        <v>0</v>
      </c>
      <c r="K7" s="428">
        <v>0</v>
      </c>
      <c r="L7" s="428">
        <v>0</v>
      </c>
    </row>
    <row r="8" spans="1:13">
      <c r="A8" s="368" t="s">
        <v>142</v>
      </c>
      <c r="B8" s="368" t="s">
        <v>64</v>
      </c>
      <c r="C8" s="305" t="s">
        <v>1814</v>
      </c>
      <c r="D8" s="428">
        <v>427.05</v>
      </c>
      <c r="E8" s="428">
        <v>1327.71</v>
      </c>
      <c r="F8" s="428">
        <v>505.75</v>
      </c>
      <c r="G8" s="428">
        <f>SUM('[125]Capitalization 19-20'!$H$47,'[125]Capitalization 20-21'!$T$26)</f>
        <v>185.44</v>
      </c>
      <c r="H8" s="428">
        <f>'[125]Capitalization 19-20'!$G$47+'[125]Capitalization 20-21'!$I$41+'[125]Capitalization 20-21'!$R$41</f>
        <v>759.74348079999993</v>
      </c>
      <c r="I8" s="428">
        <f>[126]Capitalisation!D10</f>
        <v>919.13948000000005</v>
      </c>
      <c r="J8" s="428">
        <f>[126]Capitalisation!E10</f>
        <v>1243.2664286762231</v>
      </c>
      <c r="K8" s="428">
        <f>[127]Capitalisation!$F$10</f>
        <v>1117.8908053333334</v>
      </c>
      <c r="L8" s="428">
        <f>[126]Capitalisation!G10</f>
        <v>649.87854240000001</v>
      </c>
    </row>
    <row r="9" spans="1:13" ht="31.5">
      <c r="A9" s="368"/>
      <c r="B9" s="368" t="s">
        <v>65</v>
      </c>
      <c r="C9" s="305" t="s">
        <v>198</v>
      </c>
      <c r="D9" s="428">
        <v>0</v>
      </c>
      <c r="E9" s="428">
        <v>0</v>
      </c>
      <c r="F9" s="428">
        <v>0</v>
      </c>
      <c r="G9" s="428">
        <v>0</v>
      </c>
      <c r="H9" s="428">
        <v>0</v>
      </c>
      <c r="I9" s="428">
        <v>0</v>
      </c>
      <c r="J9" s="428"/>
      <c r="K9" s="428">
        <v>0</v>
      </c>
      <c r="L9" s="428">
        <v>0</v>
      </c>
    </row>
    <row r="10" spans="1:13">
      <c r="A10" s="368" t="s">
        <v>183</v>
      </c>
      <c r="B10" s="368" t="s">
        <v>64</v>
      </c>
      <c r="C10" s="305" t="s">
        <v>1815</v>
      </c>
      <c r="D10" s="428">
        <v>1629.99</v>
      </c>
      <c r="E10" s="428">
        <f>'F7-2'!D16-E11</f>
        <v>714.74276553800007</v>
      </c>
      <c r="F10" s="428">
        <v>1572.05</v>
      </c>
      <c r="G10" s="428"/>
      <c r="H10" s="428"/>
      <c r="I10" s="554">
        <v>1311.4574173999999</v>
      </c>
      <c r="J10" s="554">
        <v>1429.6705802047782</v>
      </c>
      <c r="K10" s="554">
        <v>1608.81</v>
      </c>
      <c r="L10" s="554">
        <v>1795.64</v>
      </c>
      <c r="M10" s="1119"/>
    </row>
    <row r="11" spans="1:13" ht="31.5">
      <c r="A11" s="368"/>
      <c r="B11" s="368" t="s">
        <v>65</v>
      </c>
      <c r="C11" s="305" t="s">
        <v>1559</v>
      </c>
      <c r="D11" s="428">
        <v>0</v>
      </c>
      <c r="E11" s="428">
        <v>8.58</v>
      </c>
      <c r="F11" s="428">
        <v>127.37</v>
      </c>
      <c r="G11" s="428"/>
      <c r="H11" s="428"/>
      <c r="I11" s="428">
        <v>52.038480000000014</v>
      </c>
      <c r="J11" s="428">
        <v>83.369181804778151</v>
      </c>
      <c r="K11" s="428">
        <v>94.327271999999994</v>
      </c>
      <c r="L11" s="428">
        <v>108.22974240000002</v>
      </c>
    </row>
    <row r="12" spans="1:13">
      <c r="A12" s="368" t="s">
        <v>184</v>
      </c>
      <c r="B12" s="367" t="s">
        <v>64</v>
      </c>
      <c r="C12" s="305" t="s">
        <v>608</v>
      </c>
      <c r="D12" s="427">
        <f>D6+D8-D10</f>
        <v>840.22</v>
      </c>
      <c r="E12" s="427">
        <f>E6+E8-E10-E11</f>
        <v>2888.5872344619997</v>
      </c>
      <c r="F12" s="427">
        <f>F6+F8-F10-F11</f>
        <v>1030.4899999999998</v>
      </c>
      <c r="G12" s="427"/>
      <c r="H12" s="427"/>
      <c r="I12" s="427">
        <f>I6+I8-I10-I11</f>
        <v>2444.2308170619999</v>
      </c>
      <c r="J12" s="427">
        <f>J6+J8-J10-J11</f>
        <v>2174.4574837286664</v>
      </c>
      <c r="K12" s="427">
        <f t="shared" ref="K12:L12" si="0">K6+K8-K10-K11</f>
        <v>1589.2110170619999</v>
      </c>
      <c r="L12" s="427">
        <f t="shared" si="0"/>
        <v>335.21981706199955</v>
      </c>
    </row>
    <row r="13" spans="1:13" ht="31.5">
      <c r="A13" s="368"/>
      <c r="B13" s="367" t="s">
        <v>65</v>
      </c>
      <c r="C13" s="305" t="s">
        <v>198</v>
      </c>
      <c r="D13" s="428">
        <v>0</v>
      </c>
      <c r="E13" s="428">
        <v>0</v>
      </c>
      <c r="F13" s="428">
        <v>0</v>
      </c>
      <c r="G13" s="428">
        <v>0</v>
      </c>
      <c r="H13" s="428">
        <v>0</v>
      </c>
      <c r="I13" s="428">
        <v>0</v>
      </c>
      <c r="J13" s="428"/>
      <c r="K13" s="428">
        <v>0</v>
      </c>
      <c r="L13" s="428">
        <v>0</v>
      </c>
    </row>
    <row r="14" spans="1:13" ht="21" customHeight="1">
      <c r="A14" s="423"/>
      <c r="B14" s="423"/>
      <c r="C14" s="424"/>
      <c r="D14" s="425"/>
      <c r="E14" s="425"/>
      <c r="F14" s="425"/>
      <c r="G14" s="425"/>
      <c r="H14" s="425"/>
      <c r="I14" s="1090">
        <f>I10+I11</f>
        <v>1363.4958973999999</v>
      </c>
      <c r="J14" s="1090">
        <f>J10+J11</f>
        <v>1513.0397620095564</v>
      </c>
      <c r="K14" s="1090">
        <f t="shared" ref="K14:L14" si="1">K10+K11</f>
        <v>1703.1372719999999</v>
      </c>
      <c r="L14" s="1090">
        <f t="shared" si="1"/>
        <v>1903.8697424000002</v>
      </c>
    </row>
    <row r="15" spans="1:13" ht="15.75" customHeight="1">
      <c r="F15" s="1104"/>
    </row>
    <row r="16" spans="1:13">
      <c r="F16" s="1090"/>
    </row>
    <row r="18" spans="9:12">
      <c r="I18" s="1936" t="s">
        <v>401</v>
      </c>
      <c r="J18" s="1936"/>
      <c r="K18" s="1961"/>
      <c r="L18" s="1961"/>
    </row>
  </sheetData>
  <mergeCells count="12">
    <mergeCell ref="I18:L18"/>
    <mergeCell ref="A4:A5"/>
    <mergeCell ref="A1:L1"/>
    <mergeCell ref="D3:E3"/>
    <mergeCell ref="D4:E4"/>
    <mergeCell ref="B4:C5"/>
    <mergeCell ref="K3:L3"/>
    <mergeCell ref="A2:C2"/>
    <mergeCell ref="D2:E2"/>
    <mergeCell ref="F4:I4"/>
    <mergeCell ref="I2:L2"/>
    <mergeCell ref="J4:L4"/>
  </mergeCells>
  <pageMargins left="0.23" right="0.2" top="0.74803149606299213" bottom="0.74803149606299213" header="0.31496062992125984" footer="0.31496062992125984"/>
  <pageSetup paperSize="9" scale="5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6"/>
  <sheetViews>
    <sheetView showGridLines="0" view="pageBreakPreview" topLeftCell="A21" zoomScale="85" zoomScaleNormal="100" zoomScaleSheetLayoutView="85" workbookViewId="0">
      <selection activeCell="J33" sqref="J33"/>
    </sheetView>
  </sheetViews>
  <sheetFormatPr defaultColWidth="9.140625" defaultRowHeight="15"/>
  <cols>
    <col min="1" max="1" width="9.140625" style="156" customWidth="1"/>
    <col min="2" max="2" width="34.140625" style="156" customWidth="1"/>
    <col min="3" max="3" width="11.85546875" style="156" bestFit="1" customWidth="1"/>
    <col min="4" max="4" width="9.7109375" style="156" bestFit="1" customWidth="1"/>
    <col min="5" max="5" width="11" style="156" bestFit="1" customWidth="1"/>
    <col min="6" max="6" width="11.85546875" style="156" bestFit="1" customWidth="1"/>
    <col min="7" max="7" width="9.85546875" style="156" bestFit="1" customWidth="1"/>
    <col min="8" max="11" width="11.7109375" style="156" customWidth="1"/>
    <col min="12" max="16384" width="9.140625" style="156"/>
  </cols>
  <sheetData>
    <row r="1" spans="1:11">
      <c r="J1" s="1960" t="s">
        <v>857</v>
      </c>
      <c r="K1" s="1960"/>
    </row>
    <row r="2" spans="1:11">
      <c r="A2" s="1988" t="s">
        <v>888</v>
      </c>
      <c r="B2" s="1988"/>
      <c r="C2" s="1988"/>
      <c r="D2" s="1988"/>
      <c r="E2" s="1988"/>
      <c r="F2" s="1988"/>
      <c r="G2" s="1988"/>
      <c r="H2" s="1988"/>
      <c r="I2" s="1988"/>
      <c r="J2" s="1988"/>
      <c r="K2" s="1988"/>
    </row>
    <row r="3" spans="1:11" ht="34.5" customHeight="1">
      <c r="A3" s="1989" t="s">
        <v>623</v>
      </c>
      <c r="B3" s="1989" t="s">
        <v>48</v>
      </c>
      <c r="C3" s="1922" t="s">
        <v>1855</v>
      </c>
      <c r="D3" s="1922"/>
      <c r="E3" s="1922"/>
      <c r="F3" s="1922" t="s">
        <v>1856</v>
      </c>
      <c r="G3" s="1922"/>
      <c r="H3" s="1922"/>
      <c r="I3" s="1922" t="s">
        <v>1859</v>
      </c>
      <c r="J3" s="1922"/>
      <c r="K3" s="1922"/>
    </row>
    <row r="4" spans="1:11" ht="18.75" customHeight="1">
      <c r="A4" s="1990"/>
      <c r="B4" s="1990"/>
      <c r="C4" s="285" t="s">
        <v>624</v>
      </c>
      <c r="D4" s="285" t="s">
        <v>625</v>
      </c>
      <c r="E4" s="285" t="s">
        <v>219</v>
      </c>
      <c r="F4" s="285" t="s">
        <v>624</v>
      </c>
      <c r="G4" s="285" t="s">
        <v>625</v>
      </c>
      <c r="H4" s="285" t="s">
        <v>219</v>
      </c>
      <c r="I4" s="285" t="s">
        <v>624</v>
      </c>
      <c r="J4" s="285" t="s">
        <v>625</v>
      </c>
      <c r="K4" s="285" t="s">
        <v>219</v>
      </c>
    </row>
    <row r="5" spans="1:11" ht="25.5" customHeight="1">
      <c r="A5" s="212">
        <v>1</v>
      </c>
      <c r="B5" s="213" t="s">
        <v>626</v>
      </c>
      <c r="C5" s="631">
        <f>'F5-8'!E6*70%</f>
        <v>1598.9399999999998</v>
      </c>
      <c r="D5" s="631">
        <v>243.29</v>
      </c>
      <c r="E5" s="631">
        <f>'F5-8'!E6*30%</f>
        <v>685.25999999999988</v>
      </c>
      <c r="F5" s="632">
        <f t="shared" ref="F5:H5" si="0">C11</f>
        <v>2008.9420641233994</v>
      </c>
      <c r="G5" s="632">
        <f t="shared" si="0"/>
        <v>261.95999999999998</v>
      </c>
      <c r="H5" s="632">
        <f t="shared" si="0"/>
        <v>860.97517033859981</v>
      </c>
      <c r="I5" s="632">
        <f t="shared" ref="I5" si="1">F11</f>
        <v>1765.4809302033996</v>
      </c>
      <c r="J5" s="632">
        <f t="shared" ref="J5" si="2">G11</f>
        <v>121.93</v>
      </c>
      <c r="K5" s="632">
        <f t="shared" ref="K5" si="3">H11</f>
        <v>800.10988685859979</v>
      </c>
    </row>
    <row r="6" spans="1:11" ht="27" customHeight="1">
      <c r="A6" s="212">
        <v>2</v>
      </c>
      <c r="B6" s="213" t="s">
        <v>627</v>
      </c>
      <c r="C6" s="631">
        <f>('F5-8'!E8-D6)*70%</f>
        <v>898.62499999999989</v>
      </c>
      <c r="D6" s="631">
        <v>43.96</v>
      </c>
      <c r="E6" s="631">
        <f>('F5-8'!E8-D6)*30%</f>
        <v>385.125</v>
      </c>
      <c r="F6" s="632">
        <f>('F5-8'!I8-G6)*80%</f>
        <v>691.08758400000011</v>
      </c>
      <c r="G6" s="632">
        <v>55.28</v>
      </c>
      <c r="H6" s="632">
        <f>('F5-8'!I8-G6)*20%</f>
        <v>172.77189600000003</v>
      </c>
      <c r="I6" s="632">
        <f>('F5-8'!J8-J6)*80%</f>
        <v>972.58114294097857</v>
      </c>
      <c r="J6" s="632">
        <v>27.54</v>
      </c>
      <c r="K6" s="632">
        <f>('F5-8'!J8-J6)*20%</f>
        <v>243.14528573524464</v>
      </c>
    </row>
    <row r="7" spans="1:11" ht="24" customHeight="1">
      <c r="A7" s="212">
        <v>3</v>
      </c>
      <c r="B7" s="213" t="s">
        <v>628</v>
      </c>
      <c r="C7" s="157"/>
      <c r="D7" s="294"/>
      <c r="E7" s="294"/>
      <c r="F7" s="218"/>
      <c r="G7" s="218"/>
      <c r="H7" s="218"/>
      <c r="I7" s="157"/>
      <c r="J7" s="157"/>
      <c r="K7" s="157"/>
    </row>
    <row r="8" spans="1:11" ht="23.25" customHeight="1">
      <c r="A8" s="212"/>
      <c r="B8" s="213" t="s">
        <v>629</v>
      </c>
      <c r="C8" s="631">
        <f>('F5-8'!E10-D8)*70%</f>
        <v>482.61693587660005</v>
      </c>
      <c r="D8" s="631">
        <f>'F7-2'!D49+'F7-2'!D50</f>
        <v>25.29</v>
      </c>
      <c r="E8" s="631">
        <f>('F5-8'!E10-D8)*30%</f>
        <v>206.83582966140003</v>
      </c>
      <c r="F8" s="632">
        <f>('F5-8'!I10-G8)*80%</f>
        <v>892.91793392</v>
      </c>
      <c r="G8" s="632">
        <f>'F7-2'!F49+'F7-2'!F50</f>
        <v>195.31</v>
      </c>
      <c r="H8" s="632">
        <f>('F5-8'!I10-G8)*20%</f>
        <v>223.22948348</v>
      </c>
      <c r="I8" s="632">
        <f>('F5-8'!J10-J8)*80%</f>
        <v>1080.1044641638225</v>
      </c>
      <c r="J8" s="218">
        <f>'F7-2'!G49+'F7-2'!G50</f>
        <v>79.540000000000006</v>
      </c>
      <c r="K8" s="632">
        <f>('F5-8'!J10-J8)*20%</f>
        <v>270.02611604095563</v>
      </c>
    </row>
    <row r="9" spans="1:11" ht="23.25" customHeight="1">
      <c r="A9" s="615"/>
      <c r="B9" s="213" t="s">
        <v>1570</v>
      </c>
      <c r="C9" s="631">
        <f>'F5-8'!E11*70%</f>
        <v>6.0059999999999993</v>
      </c>
      <c r="D9" s="294"/>
      <c r="E9" s="631">
        <f>'F5-8'!E11*30%</f>
        <v>2.5739999999999998</v>
      </c>
      <c r="F9" s="632">
        <f>'F5-8'!I11*80%</f>
        <v>41.630784000000013</v>
      </c>
      <c r="G9" s="632"/>
      <c r="H9" s="632">
        <f>'F5-8'!I11*20%</f>
        <v>10.407696000000003</v>
      </c>
      <c r="I9" s="632">
        <f>'F5-8'!J11*80%</f>
        <v>66.695345443822518</v>
      </c>
      <c r="J9" s="218"/>
      <c r="K9" s="632">
        <f>'F5-8'!J11*20%</f>
        <v>16.673836360955629</v>
      </c>
    </row>
    <row r="10" spans="1:11" ht="21.75" customHeight="1">
      <c r="A10" s="212"/>
      <c r="B10" s="213" t="s">
        <v>1571</v>
      </c>
      <c r="C10" s="157"/>
      <c r="E10" s="294"/>
      <c r="F10" s="157"/>
      <c r="H10" s="157"/>
      <c r="I10" s="157"/>
      <c r="J10" s="157"/>
      <c r="K10" s="157"/>
    </row>
    <row r="11" spans="1:11" ht="23.25" customHeight="1">
      <c r="A11" s="212">
        <v>4</v>
      </c>
      <c r="B11" s="213" t="s">
        <v>630</v>
      </c>
      <c r="C11" s="631">
        <f t="shared" ref="C11:K11" si="4">C5+C6-C8-C9</f>
        <v>2008.9420641233994</v>
      </c>
      <c r="D11" s="631">
        <f t="shared" si="4"/>
        <v>261.95999999999998</v>
      </c>
      <c r="E11" s="631">
        <f t="shared" si="4"/>
        <v>860.97517033859981</v>
      </c>
      <c r="F11" s="631">
        <f t="shared" si="4"/>
        <v>1765.4809302033996</v>
      </c>
      <c r="G11" s="631">
        <f t="shared" si="4"/>
        <v>121.93</v>
      </c>
      <c r="H11" s="631">
        <f t="shared" si="4"/>
        <v>800.10988685859979</v>
      </c>
      <c r="I11" s="631">
        <f t="shared" si="4"/>
        <v>1591.2622635367331</v>
      </c>
      <c r="J11" s="631">
        <f t="shared" si="4"/>
        <v>69.929999999999993</v>
      </c>
      <c r="K11" s="631">
        <f t="shared" si="4"/>
        <v>756.55522019193313</v>
      </c>
    </row>
    <row r="13" spans="1:11" ht="15" customHeight="1">
      <c r="A13" s="1989" t="s">
        <v>623</v>
      </c>
      <c r="B13" s="1989" t="s">
        <v>48</v>
      </c>
      <c r="C13" s="1922" t="s">
        <v>1857</v>
      </c>
      <c r="D13" s="1922"/>
      <c r="E13" s="1922"/>
      <c r="F13" s="1922" t="s">
        <v>1858</v>
      </c>
      <c r="G13" s="1922"/>
      <c r="H13" s="1922"/>
    </row>
    <row r="14" spans="1:11">
      <c r="A14" s="1990"/>
      <c r="B14" s="1990"/>
      <c r="C14" s="842" t="s">
        <v>624</v>
      </c>
      <c r="D14" s="842" t="s">
        <v>625</v>
      </c>
      <c r="E14" s="842" t="s">
        <v>219</v>
      </c>
      <c r="F14" s="842" t="s">
        <v>624</v>
      </c>
      <c r="G14" s="842" t="s">
        <v>625</v>
      </c>
      <c r="H14" s="842" t="s">
        <v>219</v>
      </c>
    </row>
    <row r="15" spans="1:11" ht="18" customHeight="1">
      <c r="A15" s="844">
        <v>1</v>
      </c>
      <c r="B15" s="213" t="s">
        <v>626</v>
      </c>
      <c r="C15" s="632">
        <f>I11</f>
        <v>1591.2622635367331</v>
      </c>
      <c r="D15" s="632">
        <f t="shared" ref="D15:E15" si="5">J11</f>
        <v>69.929999999999993</v>
      </c>
      <c r="E15" s="632">
        <f t="shared" si="5"/>
        <v>756.55522019193313</v>
      </c>
      <c r="F15" s="632">
        <f t="shared" ref="F15" si="6">C21</f>
        <v>1123.0650902034001</v>
      </c>
      <c r="G15" s="632">
        <f t="shared" ref="G15" si="7">D21</f>
        <v>69.929999999999993</v>
      </c>
      <c r="H15" s="632">
        <f t="shared" ref="H15" si="8">E21</f>
        <v>639.50592685859976</v>
      </c>
    </row>
    <row r="16" spans="1:11" ht="18" customHeight="1">
      <c r="A16" s="844">
        <v>2</v>
      </c>
      <c r="B16" s="213" t="s">
        <v>627</v>
      </c>
      <c r="C16" s="632">
        <f>('F5-8'!K8-D16)*80%</f>
        <v>894.31264426666678</v>
      </c>
      <c r="D16" s="1514"/>
      <c r="E16" s="632">
        <f>('F5-8'!K8-D16)*20%</f>
        <v>223.57816106666669</v>
      </c>
      <c r="F16" s="632">
        <f>('F5-8'!L8-G16)*80%</f>
        <v>519.90283392000003</v>
      </c>
      <c r="G16" s="1514"/>
      <c r="H16" s="632">
        <f>('F5-8'!L8-G16)*20%</f>
        <v>129.97570848000001</v>
      </c>
    </row>
    <row r="17" spans="1:11" ht="18" customHeight="1">
      <c r="A17" s="844">
        <v>3</v>
      </c>
      <c r="B17" s="213" t="s">
        <v>628</v>
      </c>
      <c r="C17" s="218"/>
      <c r="D17" s="218"/>
      <c r="E17" s="218"/>
      <c r="F17" s="157"/>
      <c r="G17" s="157"/>
      <c r="H17" s="157"/>
    </row>
    <row r="18" spans="1:11" ht="18" customHeight="1">
      <c r="A18" s="844"/>
      <c r="B18" s="213" t="s">
        <v>629</v>
      </c>
      <c r="C18" s="632">
        <f>('F5-8'!K10-D18)*80%</f>
        <v>1287.048</v>
      </c>
      <c r="D18" s="632">
        <f>'F7-2'!H49+'F7-2'!H50</f>
        <v>0</v>
      </c>
      <c r="E18" s="632">
        <f>('F5-8'!K10-D18)*20%</f>
        <v>321.762</v>
      </c>
      <c r="F18" s="632">
        <f>('F5-8'!L10-G18)*80%</f>
        <v>1436.5120000000002</v>
      </c>
      <c r="G18" s="218">
        <f>'F7-2'!I49+'F7-2'!I50</f>
        <v>0</v>
      </c>
      <c r="H18" s="632">
        <f>('F5-8'!L10-G18)*20%</f>
        <v>359.12800000000004</v>
      </c>
    </row>
    <row r="19" spans="1:11" ht="18" customHeight="1">
      <c r="A19" s="844"/>
      <c r="B19" s="213" t="s">
        <v>1570</v>
      </c>
      <c r="C19" s="632">
        <f>'F5-8'!K11*80%</f>
        <v>75.461817600000003</v>
      </c>
      <c r="D19" s="632"/>
      <c r="E19" s="632">
        <f>'F5-8'!K11*20%</f>
        <v>18.865454400000001</v>
      </c>
      <c r="F19" s="632">
        <f>'F5-8'!L11*80%</f>
        <v>86.583793920000019</v>
      </c>
      <c r="G19" s="218"/>
      <c r="H19" s="632">
        <f>'F5-8'!L11*20%</f>
        <v>21.645948480000005</v>
      </c>
    </row>
    <row r="20" spans="1:11" ht="18" customHeight="1">
      <c r="A20" s="844"/>
      <c r="B20" s="213" t="s">
        <v>1571</v>
      </c>
      <c r="C20" s="157"/>
      <c r="D20" s="157"/>
      <c r="E20" s="157"/>
      <c r="F20" s="157"/>
      <c r="G20" s="157"/>
      <c r="H20" s="157"/>
    </row>
    <row r="21" spans="1:11" ht="18" customHeight="1">
      <c r="A21" s="844">
        <v>4</v>
      </c>
      <c r="B21" s="213" t="s">
        <v>630</v>
      </c>
      <c r="C21" s="631">
        <f t="shared" ref="C21:H21" si="9">C15+C16-C18-C19</f>
        <v>1123.0650902034001</v>
      </c>
      <c r="D21" s="631">
        <f t="shared" si="9"/>
        <v>69.929999999999993</v>
      </c>
      <c r="E21" s="631">
        <f t="shared" si="9"/>
        <v>639.50592685859976</v>
      </c>
      <c r="F21" s="631">
        <f t="shared" si="9"/>
        <v>119.87213020340009</v>
      </c>
      <c r="G21" s="631">
        <f t="shared" si="9"/>
        <v>69.929999999999993</v>
      </c>
      <c r="H21" s="631">
        <f t="shared" si="9"/>
        <v>388.70768685859969</v>
      </c>
    </row>
    <row r="26" spans="1:11">
      <c r="I26" s="1936" t="s">
        <v>401</v>
      </c>
      <c r="J26" s="1961"/>
      <c r="K26" s="1961"/>
    </row>
  </sheetData>
  <mergeCells count="12">
    <mergeCell ref="I26:K26"/>
    <mergeCell ref="C3:E3"/>
    <mergeCell ref="F3:H3"/>
    <mergeCell ref="I3:K3"/>
    <mergeCell ref="J1:K1"/>
    <mergeCell ref="A2:K2"/>
    <mergeCell ref="A3:A4"/>
    <mergeCell ref="B3:B4"/>
    <mergeCell ref="A13:A14"/>
    <mergeCell ref="B13:B14"/>
    <mergeCell ref="C13:E13"/>
    <mergeCell ref="F13:H13"/>
  </mergeCells>
  <printOptions horizontalCentered="1"/>
  <pageMargins left="0.42" right="0.51" top="0.74803149606299202" bottom="0.74803149606299202" header="0.31496062992126" footer="0.31496062992126"/>
  <pageSetup paperSize="9"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J9"/>
  <sheetViews>
    <sheetView showGridLines="0" view="pageBreakPreview" zoomScale="90" zoomScaleNormal="100" zoomScaleSheetLayoutView="90" workbookViewId="0">
      <selection activeCell="M8" sqref="M8"/>
    </sheetView>
  </sheetViews>
  <sheetFormatPr defaultRowHeight="15"/>
  <sheetData>
    <row r="6" spans="2:10" ht="125.25" customHeight="1">
      <c r="B6" s="1719" t="s">
        <v>2744</v>
      </c>
      <c r="C6" s="1719"/>
      <c r="D6" s="1719"/>
      <c r="E6" s="1719"/>
      <c r="F6" s="1719"/>
      <c r="G6" s="1719"/>
      <c r="H6" s="1719"/>
      <c r="I6" s="1719"/>
      <c r="J6" s="1719"/>
    </row>
    <row r="9" spans="2:10" ht="23.25">
      <c r="E9" s="1710" t="s">
        <v>2743</v>
      </c>
    </row>
  </sheetData>
  <mergeCells count="1">
    <mergeCell ref="B6:J6"/>
  </mergeCells>
  <pageMargins left="0.7" right="0.7" top="0.75" bottom="0.75" header="0.3" footer="0.3"/>
  <pageSetup scale="8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I32"/>
  <sheetViews>
    <sheetView showGridLines="0" view="pageBreakPreview" topLeftCell="A6" zoomScale="80" zoomScaleNormal="70" zoomScaleSheetLayoutView="80" workbookViewId="0">
      <selection activeCell="I14" sqref="I14"/>
    </sheetView>
  </sheetViews>
  <sheetFormatPr defaultColWidth="9.140625" defaultRowHeight="15"/>
  <cols>
    <col min="1" max="1" width="6" style="609" customWidth="1"/>
    <col min="2" max="2" width="34.42578125" style="609" customWidth="1"/>
    <col min="3" max="3" width="12.28515625" style="609" customWidth="1"/>
    <col min="4" max="4" width="13.42578125" style="609" customWidth="1"/>
    <col min="5" max="5" width="13.42578125" style="609" bestFit="1" customWidth="1"/>
    <col min="6" max="6" width="15.7109375" style="609" customWidth="1"/>
    <col min="7" max="8" width="15.7109375" style="843" customWidth="1"/>
    <col min="9" max="9" width="18.42578125" style="609" customWidth="1"/>
    <col min="10" max="16384" width="9.140625" style="609"/>
  </cols>
  <sheetData>
    <row r="1" spans="1:9" ht="21" customHeight="1">
      <c r="A1" s="1996" t="s">
        <v>1158</v>
      </c>
      <c r="B1" s="1997"/>
      <c r="C1" s="1997"/>
      <c r="D1" s="1997"/>
      <c r="E1" s="1997"/>
      <c r="F1" s="1997"/>
      <c r="G1" s="1997"/>
      <c r="H1" s="1997"/>
      <c r="I1" s="1997"/>
    </row>
    <row r="2" spans="1:9" ht="35.25" customHeight="1">
      <c r="A2" s="1994" t="s">
        <v>10</v>
      </c>
      <c r="B2" s="1994"/>
      <c r="C2" s="1994"/>
      <c r="D2" s="1994"/>
      <c r="E2" s="1994"/>
      <c r="F2" s="1995" t="s">
        <v>517</v>
      </c>
      <c r="G2" s="1995"/>
      <c r="H2" s="1995"/>
      <c r="I2" s="1995"/>
    </row>
    <row r="3" spans="1:9" ht="22.5" customHeight="1">
      <c r="A3" s="1998"/>
      <c r="B3" s="1999" t="s">
        <v>48</v>
      </c>
      <c r="C3" s="1999"/>
      <c r="D3" s="2000" t="s">
        <v>1108</v>
      </c>
      <c r="E3" s="2000"/>
      <c r="F3" s="2001" t="s">
        <v>1860</v>
      </c>
      <c r="G3" s="1917" t="s">
        <v>1851</v>
      </c>
      <c r="H3" s="1917"/>
      <c r="I3" s="1917"/>
    </row>
    <row r="4" spans="1:9" ht="53.25" customHeight="1">
      <c r="A4" s="1998"/>
      <c r="B4" s="1999"/>
      <c r="C4" s="1999"/>
      <c r="D4" s="600" t="s">
        <v>550</v>
      </c>
      <c r="E4" s="600" t="s">
        <v>1861</v>
      </c>
      <c r="F4" s="2002"/>
      <c r="G4" s="851" t="s">
        <v>1841</v>
      </c>
      <c r="H4" s="851" t="s">
        <v>1842</v>
      </c>
      <c r="I4" s="474" t="s">
        <v>1843</v>
      </c>
    </row>
    <row r="5" spans="1:9" ht="29.25" customHeight="1">
      <c r="A5" s="583">
        <v>1</v>
      </c>
      <c r="B5" s="584" t="s">
        <v>152</v>
      </c>
      <c r="C5" s="583" t="s">
        <v>151</v>
      </c>
      <c r="D5" s="585">
        <v>0.98</v>
      </c>
      <c r="E5" s="586">
        <f>Incentive!D20</f>
        <v>0.99615691666666661</v>
      </c>
      <c r="F5" s="586">
        <f>E5</f>
        <v>0.99615691666666661</v>
      </c>
      <c r="G5" s="586">
        <f>F5</f>
        <v>0.99615691666666661</v>
      </c>
      <c r="H5" s="586">
        <f>G5</f>
        <v>0.99615691666666661</v>
      </c>
      <c r="I5" s="586">
        <f>H5</f>
        <v>0.99615691666666661</v>
      </c>
    </row>
    <row r="6" spans="1:9" ht="28.5" customHeight="1">
      <c r="A6" s="583"/>
      <c r="B6" s="587" t="s">
        <v>411</v>
      </c>
      <c r="C6" s="583" t="s">
        <v>151</v>
      </c>
      <c r="D6" s="585"/>
      <c r="E6" s="585" t="s">
        <v>969</v>
      </c>
      <c r="F6" s="585" t="s">
        <v>969</v>
      </c>
      <c r="G6" s="585" t="s">
        <v>969</v>
      </c>
      <c r="H6" s="585" t="s">
        <v>969</v>
      </c>
      <c r="I6" s="585" t="s">
        <v>969</v>
      </c>
    </row>
    <row r="7" spans="1:9" ht="29.25" customHeight="1">
      <c r="A7" s="583"/>
      <c r="B7" s="588" t="s">
        <v>412</v>
      </c>
      <c r="C7" s="583" t="s">
        <v>151</v>
      </c>
      <c r="D7" s="585"/>
      <c r="E7" s="585" t="s">
        <v>969</v>
      </c>
      <c r="F7" s="585" t="s">
        <v>969</v>
      </c>
      <c r="G7" s="585" t="s">
        <v>969</v>
      </c>
      <c r="H7" s="585" t="s">
        <v>969</v>
      </c>
      <c r="I7" s="585" t="s">
        <v>969</v>
      </c>
    </row>
    <row r="8" spans="1:9" ht="27.75" customHeight="1">
      <c r="A8" s="583"/>
      <c r="B8" s="587" t="s">
        <v>413</v>
      </c>
      <c r="C8" s="583" t="s">
        <v>151</v>
      </c>
      <c r="D8" s="585"/>
      <c r="E8" s="585" t="s">
        <v>969</v>
      </c>
      <c r="F8" s="585" t="s">
        <v>969</v>
      </c>
      <c r="G8" s="585" t="s">
        <v>969</v>
      </c>
      <c r="H8" s="585" t="s">
        <v>969</v>
      </c>
      <c r="I8" s="585" t="s">
        <v>969</v>
      </c>
    </row>
    <row r="9" spans="1:9" ht="36" customHeight="1">
      <c r="A9" s="583">
        <f>+A5+1</f>
        <v>2</v>
      </c>
      <c r="B9" s="584" t="s">
        <v>681</v>
      </c>
      <c r="C9" s="583" t="s">
        <v>320</v>
      </c>
      <c r="D9" s="589"/>
      <c r="E9" s="585" t="s">
        <v>969</v>
      </c>
      <c r="F9" s="585" t="s">
        <v>969</v>
      </c>
      <c r="G9" s="585" t="s">
        <v>969</v>
      </c>
      <c r="H9" s="585" t="s">
        <v>969</v>
      </c>
      <c r="I9" s="585" t="s">
        <v>969</v>
      </c>
    </row>
    <row r="10" spans="1:9" ht="37.5" customHeight="1">
      <c r="A10" s="583">
        <f>+A9+1</f>
        <v>3</v>
      </c>
      <c r="B10" s="584" t="s">
        <v>682</v>
      </c>
      <c r="C10" s="583" t="s">
        <v>320</v>
      </c>
      <c r="D10" s="589"/>
      <c r="E10" s="585" t="s">
        <v>969</v>
      </c>
      <c r="F10" s="585" t="s">
        <v>969</v>
      </c>
      <c r="G10" s="585" t="s">
        <v>969</v>
      </c>
      <c r="H10" s="585" t="s">
        <v>969</v>
      </c>
      <c r="I10" s="585" t="s">
        <v>969</v>
      </c>
    </row>
    <row r="11" spans="1:9" ht="35.25" customHeight="1">
      <c r="A11" s="583">
        <f t="shared" ref="A11:A19" si="0">+A10+1</f>
        <v>4</v>
      </c>
      <c r="B11" s="584" t="s">
        <v>683</v>
      </c>
      <c r="C11" s="583" t="s">
        <v>320</v>
      </c>
      <c r="D11" s="589"/>
      <c r="E11" s="585" t="s">
        <v>969</v>
      </c>
      <c r="F11" s="585" t="s">
        <v>969</v>
      </c>
      <c r="G11" s="585" t="s">
        <v>969</v>
      </c>
      <c r="H11" s="585" t="s">
        <v>969</v>
      </c>
      <c r="I11" s="585" t="s">
        <v>969</v>
      </c>
    </row>
    <row r="12" spans="1:9" ht="21" customHeight="1">
      <c r="A12" s="583">
        <f t="shared" si="0"/>
        <v>5</v>
      </c>
      <c r="B12" s="584" t="s">
        <v>684</v>
      </c>
      <c r="C12" s="583" t="s">
        <v>320</v>
      </c>
      <c r="D12" s="589"/>
      <c r="E12" s="585" t="s">
        <v>969</v>
      </c>
      <c r="F12" s="585" t="s">
        <v>969</v>
      </c>
      <c r="G12" s="585" t="s">
        <v>969</v>
      </c>
      <c r="H12" s="585" t="s">
        <v>969</v>
      </c>
      <c r="I12" s="585" t="s">
        <v>969</v>
      </c>
    </row>
    <row r="13" spans="1:9" ht="28.5" customHeight="1">
      <c r="A13" s="583">
        <f t="shared" si="0"/>
        <v>6</v>
      </c>
      <c r="B13" s="584" t="s">
        <v>326</v>
      </c>
      <c r="C13" s="583" t="s">
        <v>325</v>
      </c>
      <c r="D13" s="589"/>
      <c r="E13" s="585" t="s">
        <v>969</v>
      </c>
      <c r="F13" s="585" t="s">
        <v>969</v>
      </c>
      <c r="G13" s="585" t="s">
        <v>969</v>
      </c>
      <c r="H13" s="585" t="s">
        <v>969</v>
      </c>
      <c r="I13" s="585" t="s">
        <v>969</v>
      </c>
    </row>
    <row r="14" spans="1:9" ht="36" customHeight="1">
      <c r="A14" s="583">
        <f t="shared" si="0"/>
        <v>7</v>
      </c>
      <c r="B14" s="584" t="s">
        <v>685</v>
      </c>
      <c r="C14" s="583" t="s">
        <v>153</v>
      </c>
      <c r="D14" s="589"/>
      <c r="E14" s="585" t="s">
        <v>969</v>
      </c>
      <c r="F14" s="585" t="s">
        <v>969</v>
      </c>
      <c r="G14" s="585" t="s">
        <v>969</v>
      </c>
      <c r="H14" s="585" t="s">
        <v>969</v>
      </c>
      <c r="I14" s="585" t="s">
        <v>969</v>
      </c>
    </row>
    <row r="15" spans="1:9" ht="32.25" customHeight="1">
      <c r="A15" s="583">
        <f t="shared" si="0"/>
        <v>8</v>
      </c>
      <c r="B15" s="584" t="s">
        <v>154</v>
      </c>
      <c r="C15" s="583" t="s">
        <v>155</v>
      </c>
      <c r="D15" s="589"/>
      <c r="E15" s="585" t="s">
        <v>969</v>
      </c>
      <c r="F15" s="585" t="s">
        <v>969</v>
      </c>
      <c r="G15" s="585" t="s">
        <v>969</v>
      </c>
      <c r="H15" s="585" t="s">
        <v>969</v>
      </c>
      <c r="I15" s="585" t="s">
        <v>969</v>
      </c>
    </row>
    <row r="16" spans="1:9" ht="33.75" customHeight="1">
      <c r="A16" s="583">
        <f t="shared" si="0"/>
        <v>9</v>
      </c>
      <c r="B16" s="584" t="s">
        <v>631</v>
      </c>
      <c r="C16" s="583" t="s">
        <v>151</v>
      </c>
      <c r="D16" s="633">
        <f>'F10'!C34</f>
        <v>0.18781049315400458</v>
      </c>
      <c r="E16" s="633">
        <f>'F10'!D34</f>
        <v>0.12117099651027531</v>
      </c>
      <c r="F16" s="634">
        <f>'F10'!H34</f>
        <v>0.12117099651027531</v>
      </c>
      <c r="G16" s="634">
        <f>'F10'!I34</f>
        <v>0.12117099651027531</v>
      </c>
      <c r="H16" s="634">
        <f>'F10'!J34</f>
        <v>0.12117099651027531</v>
      </c>
      <c r="I16" s="634">
        <f>'F10'!K34</f>
        <v>0.12117099651027531</v>
      </c>
    </row>
    <row r="17" spans="1:9" ht="30" customHeight="1">
      <c r="A17" s="583">
        <f>+A16+1</f>
        <v>10</v>
      </c>
      <c r="B17" s="584" t="s">
        <v>361</v>
      </c>
      <c r="C17" s="583" t="s">
        <v>151</v>
      </c>
      <c r="D17" s="589"/>
      <c r="E17" s="589"/>
      <c r="F17" s="589"/>
      <c r="G17" s="589"/>
      <c r="H17" s="589"/>
      <c r="I17" s="583"/>
    </row>
    <row r="18" spans="1:9" ht="33.75" customHeight="1">
      <c r="A18" s="583">
        <f t="shared" si="0"/>
        <v>11</v>
      </c>
      <c r="B18" s="584" t="s">
        <v>957</v>
      </c>
      <c r="C18" s="583" t="s">
        <v>151</v>
      </c>
      <c r="D18" s="1297">
        <v>0.08</v>
      </c>
      <c r="E18" s="1297">
        <v>7.0499999999999993E-2</v>
      </c>
      <c r="F18" s="1297">
        <v>7.0000000000000007E-2</v>
      </c>
      <c r="G18" s="1297">
        <v>7.0000000000000007E-2</v>
      </c>
      <c r="H18" s="1297">
        <v>7.0000000000000007E-2</v>
      </c>
      <c r="I18" s="1297">
        <v>7.0000000000000007E-2</v>
      </c>
    </row>
    <row r="19" spans="1:9" ht="27.75" customHeight="1">
      <c r="A19" s="583">
        <f t="shared" si="0"/>
        <v>12</v>
      </c>
      <c r="B19" s="584" t="s">
        <v>560</v>
      </c>
      <c r="C19" s="583" t="s">
        <v>151</v>
      </c>
      <c r="D19" s="1298"/>
      <c r="E19" s="1298"/>
      <c r="F19" s="1298"/>
      <c r="G19" s="1298"/>
      <c r="H19" s="1298"/>
      <c r="I19" s="73"/>
    </row>
    <row r="20" spans="1:9" ht="27.75" customHeight="1">
      <c r="A20" s="214"/>
      <c r="B20" s="215"/>
      <c r="C20" s="216"/>
      <c r="D20" s="216"/>
      <c r="E20" s="216"/>
      <c r="F20" s="216"/>
      <c r="G20" s="216"/>
      <c r="H20" s="216"/>
      <c r="I20" s="217"/>
    </row>
    <row r="21" spans="1:9" ht="21" hidden="1" customHeight="1">
      <c r="A21" s="214"/>
      <c r="B21" s="215"/>
      <c r="C21" s="216"/>
      <c r="D21" s="216"/>
      <c r="E21" s="216"/>
      <c r="F21" s="216"/>
      <c r="G21" s="216"/>
      <c r="H21" s="216"/>
      <c r="I21" s="217"/>
    </row>
    <row r="22" spans="1:9" ht="21" hidden="1" customHeight="1">
      <c r="A22" s="176" t="s">
        <v>187</v>
      </c>
      <c r="B22" s="176"/>
      <c r="C22" s="176"/>
      <c r="D22" s="176"/>
      <c r="E22" s="176"/>
      <c r="F22" s="176"/>
      <c r="G22" s="176"/>
      <c r="H22" s="176"/>
      <c r="I22" s="176"/>
    </row>
    <row r="23" spans="1:9" ht="21" hidden="1" customHeight="1">
      <c r="A23" s="604">
        <v>1</v>
      </c>
      <c r="B23" s="196" t="s">
        <v>339</v>
      </c>
      <c r="C23" s="1932" t="s">
        <v>356</v>
      </c>
      <c r="D23" s="1991"/>
      <c r="E23" s="1991"/>
      <c r="F23" s="1991"/>
      <c r="G23" s="1991"/>
      <c r="H23" s="1991"/>
      <c r="I23" s="1991"/>
    </row>
    <row r="24" spans="1:9" ht="21" hidden="1" customHeight="1">
      <c r="A24" s="604">
        <v>2</v>
      </c>
      <c r="B24" s="197" t="s">
        <v>343</v>
      </c>
      <c r="C24" s="1932"/>
      <c r="D24" s="1991"/>
      <c r="E24" s="1991"/>
      <c r="F24" s="1991"/>
      <c r="G24" s="1991"/>
      <c r="H24" s="1991"/>
      <c r="I24" s="1991"/>
    </row>
    <row r="25" spans="1:9" ht="21" hidden="1" customHeight="1">
      <c r="A25" s="604">
        <v>3</v>
      </c>
      <c r="B25" s="197" t="s">
        <v>330</v>
      </c>
      <c r="C25" s="1932" t="s">
        <v>335</v>
      </c>
      <c r="D25" s="1991"/>
      <c r="E25" s="1991"/>
      <c r="F25" s="1991"/>
      <c r="G25" s="1991"/>
      <c r="H25" s="1991"/>
      <c r="I25" s="1991"/>
    </row>
    <row r="26" spans="1:9" ht="21" hidden="1" customHeight="1">
      <c r="A26" s="604">
        <v>4</v>
      </c>
      <c r="B26" s="197" t="s">
        <v>331</v>
      </c>
      <c r="C26" s="1992" t="s">
        <v>358</v>
      </c>
      <c r="D26" s="1993"/>
      <c r="E26" s="1993"/>
      <c r="F26" s="1993"/>
      <c r="G26" s="1993"/>
      <c r="H26" s="1993"/>
      <c r="I26" s="1993"/>
    </row>
    <row r="27" spans="1:9" ht="21" hidden="1" customHeight="1">
      <c r="A27" s="604">
        <v>5</v>
      </c>
      <c r="B27" s="197" t="s">
        <v>332</v>
      </c>
      <c r="C27" s="1932"/>
      <c r="D27" s="1991"/>
      <c r="E27" s="1991"/>
      <c r="F27" s="1991"/>
      <c r="G27" s="1991"/>
      <c r="H27" s="1991"/>
      <c r="I27" s="1991"/>
    </row>
    <row r="28" spans="1:9" hidden="1"/>
    <row r="29" spans="1:9" hidden="1"/>
    <row r="30" spans="1:9" hidden="1"/>
    <row r="32" spans="1:9">
      <c r="E32" s="1936" t="s">
        <v>401</v>
      </c>
      <c r="F32" s="1961"/>
      <c r="G32" s="1961"/>
      <c r="H32" s="1961"/>
      <c r="I32" s="1961"/>
    </row>
  </sheetData>
  <mergeCells count="15">
    <mergeCell ref="A2:E2"/>
    <mergeCell ref="F2:I2"/>
    <mergeCell ref="A1:I1"/>
    <mergeCell ref="A3:A4"/>
    <mergeCell ref="B3:B4"/>
    <mergeCell ref="C3:C4"/>
    <mergeCell ref="D3:E3"/>
    <mergeCell ref="F3:F4"/>
    <mergeCell ref="G3:I3"/>
    <mergeCell ref="E32:I32"/>
    <mergeCell ref="C23:I23"/>
    <mergeCell ref="C24:I24"/>
    <mergeCell ref="C25:I25"/>
    <mergeCell ref="C26:I26"/>
    <mergeCell ref="C27:I27"/>
  </mergeCells>
  <pageMargins left="0.34" right="0.32" top="0.74803149606299213" bottom="0.74803149606299213" header="0.31496062992125984" footer="0.31496062992125984"/>
  <pageSetup paperSize="9" scale="6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pageSetUpPr fitToPage="1"/>
  </sheetPr>
  <dimension ref="A1:M29"/>
  <sheetViews>
    <sheetView showGridLines="0" view="pageBreakPreview" topLeftCell="B1" zoomScale="70" zoomScaleNormal="80" zoomScaleSheetLayoutView="70" workbookViewId="0">
      <pane xSplit="1" ySplit="1" topLeftCell="H3" activePane="bottomRight" state="frozen"/>
      <selection activeCell="B1" sqref="B1"/>
      <selection pane="topRight" activeCell="C1" sqref="C1"/>
      <selection pane="bottomLeft" activeCell="B2" sqref="B2"/>
      <selection pane="bottomRight" activeCell="H12" sqref="H12"/>
    </sheetView>
  </sheetViews>
  <sheetFormatPr defaultColWidth="9.140625" defaultRowHeight="15.75"/>
  <cols>
    <col min="1" max="1" width="7.28515625" style="74" bestFit="1" customWidth="1"/>
    <col min="2" max="2" width="63.42578125" style="74" customWidth="1"/>
    <col min="3" max="3" width="16.140625" style="74" customWidth="1"/>
    <col min="4" max="4" width="15.28515625" style="74" customWidth="1"/>
    <col min="5" max="5" width="16.140625" style="74" customWidth="1"/>
    <col min="6" max="7" width="16.140625" style="74" hidden="1" customWidth="1"/>
    <col min="8" max="8" width="16.140625" style="74" customWidth="1"/>
    <col min="9" max="9" width="16.140625" style="826" customWidth="1"/>
    <col min="10" max="11" width="16.140625" style="74" customWidth="1"/>
    <col min="12" max="12" width="9.140625" style="74"/>
    <col min="13" max="13" width="12.7109375" style="74" bestFit="1" customWidth="1"/>
    <col min="14" max="16384" width="9.140625" style="74"/>
  </cols>
  <sheetData>
    <row r="1" spans="1:13" ht="21" customHeight="1">
      <c r="A1" s="2004" t="s">
        <v>1158</v>
      </c>
      <c r="B1" s="2005"/>
      <c r="C1" s="2005"/>
      <c r="D1" s="2005"/>
      <c r="E1" s="2005"/>
      <c r="F1" s="2005"/>
      <c r="G1" s="2005"/>
      <c r="H1" s="2005"/>
      <c r="I1" s="825"/>
    </row>
    <row r="2" spans="1:13">
      <c r="A2" s="2009" t="s">
        <v>895</v>
      </c>
      <c r="B2" s="2009"/>
      <c r="C2" s="434"/>
      <c r="D2" s="434"/>
      <c r="E2" s="434"/>
      <c r="F2" s="434"/>
      <c r="G2" s="1995"/>
      <c r="H2" s="1995"/>
      <c r="I2" s="822"/>
      <c r="J2" s="1995" t="s">
        <v>859</v>
      </c>
      <c r="K2" s="1995"/>
    </row>
    <row r="3" spans="1:13">
      <c r="A3" s="2010"/>
      <c r="B3" s="2010"/>
      <c r="C3" s="435"/>
      <c r="D3" s="435"/>
      <c r="E3" s="435"/>
      <c r="F3" s="1856" t="s">
        <v>320</v>
      </c>
      <c r="G3" s="1856"/>
      <c r="H3" s="1856"/>
      <c r="I3" s="838"/>
    </row>
    <row r="4" spans="1:13" ht="39" customHeight="1">
      <c r="A4" s="2006"/>
      <c r="B4" s="2008" t="s">
        <v>48</v>
      </c>
      <c r="C4" s="1829" t="s">
        <v>1846</v>
      </c>
      <c r="D4" s="1831"/>
      <c r="E4" s="1824" t="s">
        <v>1847</v>
      </c>
      <c r="F4" s="1825"/>
      <c r="G4" s="1825"/>
      <c r="H4" s="1826"/>
      <c r="I4" s="1829" t="s">
        <v>1848</v>
      </c>
      <c r="J4" s="1830"/>
      <c r="K4" s="1831"/>
    </row>
    <row r="5" spans="1:13" ht="50.25" customHeight="1">
      <c r="A5" s="2007"/>
      <c r="B5" s="2008"/>
      <c r="C5" s="361" t="s">
        <v>1172</v>
      </c>
      <c r="D5" s="282" t="s">
        <v>230</v>
      </c>
      <c r="E5" s="361" t="s">
        <v>1160</v>
      </c>
      <c r="F5" s="361" t="s">
        <v>1163</v>
      </c>
      <c r="G5" s="361" t="s">
        <v>1164</v>
      </c>
      <c r="H5" s="363" t="s">
        <v>1165</v>
      </c>
      <c r="I5" s="823" t="s">
        <v>1841</v>
      </c>
      <c r="J5" s="823" t="s">
        <v>1842</v>
      </c>
      <c r="K5" s="823" t="s">
        <v>1843</v>
      </c>
    </row>
    <row r="6" spans="1:13">
      <c r="A6" s="130" t="s">
        <v>137</v>
      </c>
      <c r="B6" s="384" t="s">
        <v>584</v>
      </c>
      <c r="C6" s="779"/>
      <c r="D6" s="780"/>
      <c r="E6" s="780"/>
      <c r="F6" s="780"/>
      <c r="G6" s="780"/>
      <c r="H6" s="780"/>
      <c r="I6" s="780"/>
      <c r="J6" s="781"/>
      <c r="K6" s="781"/>
    </row>
    <row r="7" spans="1:13">
      <c r="A7" s="130"/>
      <c r="B7" s="380" t="s">
        <v>889</v>
      </c>
      <c r="C7" s="779">
        <v>9005.5300000000007</v>
      </c>
      <c r="D7" s="779">
        <v>9486.39</v>
      </c>
      <c r="E7" s="779">
        <v>10921.18</v>
      </c>
      <c r="F7" s="782"/>
      <c r="G7" s="782"/>
      <c r="H7" s="782">
        <f>D17</f>
        <v>10206.055562</v>
      </c>
      <c r="I7" s="782">
        <f>H17</f>
        <v>11569.5514594</v>
      </c>
      <c r="J7" s="782">
        <f>I17</f>
        <v>13082.591221409555</v>
      </c>
      <c r="K7" s="782">
        <f>J17</f>
        <v>14785.728493409555</v>
      </c>
    </row>
    <row r="8" spans="1:13" ht="31.5">
      <c r="A8" s="130"/>
      <c r="B8" s="380" t="s">
        <v>890</v>
      </c>
      <c r="C8" s="780"/>
      <c r="D8" s="780"/>
      <c r="E8" s="780"/>
      <c r="F8" s="780"/>
      <c r="G8" s="780"/>
      <c r="H8" s="780"/>
      <c r="I8" s="780"/>
      <c r="J8" s="781"/>
      <c r="K8" s="781"/>
    </row>
    <row r="9" spans="1:13" ht="31.5">
      <c r="A9" s="130"/>
      <c r="B9" s="380" t="s">
        <v>891</v>
      </c>
      <c r="C9" s="780"/>
      <c r="D9" s="780"/>
      <c r="E9" s="780"/>
      <c r="F9" s="780"/>
      <c r="G9" s="780"/>
      <c r="H9" s="780"/>
      <c r="I9" s="780"/>
      <c r="J9" s="781"/>
      <c r="K9" s="781"/>
    </row>
    <row r="10" spans="1:13">
      <c r="A10" s="130"/>
      <c r="B10" s="384" t="s">
        <v>586</v>
      </c>
      <c r="C10" s="782">
        <f>C7+C8-C9</f>
        <v>9005.5300000000007</v>
      </c>
      <c r="D10" s="782">
        <f t="shared" ref="D10:K10" si="0">D7+D8-D9</f>
        <v>9486.39</v>
      </c>
      <c r="E10" s="782">
        <f t="shared" si="0"/>
        <v>10921.18</v>
      </c>
      <c r="F10" s="782"/>
      <c r="G10" s="782"/>
      <c r="H10" s="782">
        <f t="shared" si="0"/>
        <v>10206.055562</v>
      </c>
      <c r="I10" s="782">
        <f t="shared" si="0"/>
        <v>11569.5514594</v>
      </c>
      <c r="J10" s="782">
        <f t="shared" si="0"/>
        <v>13082.591221409555</v>
      </c>
      <c r="K10" s="782">
        <f t="shared" si="0"/>
        <v>14785.728493409555</v>
      </c>
    </row>
    <row r="11" spans="1:13" ht="31.5">
      <c r="A11" s="130" t="s">
        <v>142</v>
      </c>
      <c r="B11" s="384" t="s">
        <v>585</v>
      </c>
      <c r="C11" s="1641"/>
      <c r="D11" s="1641"/>
      <c r="E11" s="1641"/>
      <c r="F11" s="1641"/>
      <c r="G11" s="1641"/>
      <c r="H11" s="1641"/>
      <c r="I11" s="1641"/>
      <c r="J11" s="122"/>
      <c r="K11" s="122"/>
    </row>
    <row r="12" spans="1:13" ht="31.5">
      <c r="A12" s="130"/>
      <c r="B12" s="380" t="s">
        <v>892</v>
      </c>
      <c r="C12" s="473">
        <v>1629.99</v>
      </c>
      <c r="D12" s="640">
        <f>'F7-2'!D16</f>
        <v>723.32276553800011</v>
      </c>
      <c r="E12" s="473">
        <f>1572.05+127.37</f>
        <v>1699.42</v>
      </c>
      <c r="F12" s="473">
        <f>'F5-8'!G10+'F5-8'!G11</f>
        <v>0</v>
      </c>
      <c r="G12" s="473">
        <f>'F5-8'!H10+'F5-8'!H11</f>
        <v>0</v>
      </c>
      <c r="H12" s="640">
        <f>'F5-8'!I10+'F5-8'!I11</f>
        <v>1363.4958973999999</v>
      </c>
      <c r="I12" s="640">
        <f>'F5-8'!J10+'F5-8'!J11</f>
        <v>1513.0397620095564</v>
      </c>
      <c r="J12" s="640">
        <f>'F5-8'!K10+'F5-8'!K11</f>
        <v>1703.1372719999999</v>
      </c>
      <c r="K12" s="640">
        <f>'F5-8'!L10+'F5-8'!L11</f>
        <v>1903.8697424000002</v>
      </c>
    </row>
    <row r="13" spans="1:13" ht="31.5">
      <c r="A13" s="130"/>
      <c r="B13" s="380" t="s">
        <v>893</v>
      </c>
      <c r="C13" s="1641"/>
      <c r="D13" s="1641"/>
      <c r="E13" s="1641"/>
      <c r="F13" s="1641"/>
      <c r="G13" s="1641"/>
      <c r="H13" s="1641"/>
      <c r="I13" s="1641"/>
      <c r="J13" s="122"/>
      <c r="K13" s="122"/>
    </row>
    <row r="14" spans="1:13" ht="31.5">
      <c r="A14" s="130"/>
      <c r="B14" s="380" t="s">
        <v>894</v>
      </c>
      <c r="C14" s="1641"/>
      <c r="D14" s="1641"/>
      <c r="E14" s="1641"/>
      <c r="F14" s="1641"/>
      <c r="G14" s="1641"/>
      <c r="H14" s="1641"/>
      <c r="I14" s="1641"/>
      <c r="J14" s="122"/>
      <c r="K14" s="122"/>
      <c r="M14" s="527"/>
    </row>
    <row r="15" spans="1:13" s="581" customFormat="1">
      <c r="A15" s="130"/>
      <c r="B15" s="418" t="s">
        <v>1271</v>
      </c>
      <c r="C15" s="640">
        <v>13.3</v>
      </c>
      <c r="D15" s="1642">
        <f>'F7-2'!D36</f>
        <v>33.306672900000002</v>
      </c>
      <c r="E15" s="1641"/>
      <c r="F15" s="1641"/>
      <c r="G15" s="1641"/>
      <c r="H15" s="640">
        <f>'F7-2'!F36</f>
        <v>0</v>
      </c>
      <c r="I15" s="640">
        <f>'F7-2'!G36</f>
        <v>0</v>
      </c>
      <c r="J15" s="640">
        <f>'F7-2'!H36</f>
        <v>0</v>
      </c>
      <c r="K15" s="640">
        <f>'F7-2'!I36</f>
        <v>0</v>
      </c>
      <c r="M15" s="527"/>
    </row>
    <row r="16" spans="1:13">
      <c r="A16" s="130"/>
      <c r="B16" s="418" t="s">
        <v>1176</v>
      </c>
      <c r="C16" s="1641"/>
      <c r="D16" s="640">
        <f>'F7-2'!E16</f>
        <v>3.6572035379999996</v>
      </c>
      <c r="E16" s="1641"/>
      <c r="F16" s="1641"/>
      <c r="G16" s="1641"/>
      <c r="H16" s="1641"/>
      <c r="I16" s="1641"/>
      <c r="J16" s="122"/>
      <c r="K16" s="122"/>
    </row>
    <row r="17" spans="1:11" ht="32.25" thickBot="1">
      <c r="A17" s="130" t="s">
        <v>183</v>
      </c>
      <c r="B17" s="436" t="s">
        <v>1257</v>
      </c>
      <c r="C17" s="782">
        <f>C10+C12++C15+C13-C14-C16</f>
        <v>10648.82</v>
      </c>
      <c r="D17" s="782">
        <f t="shared" ref="D17:K17" si="1">D10+D12+D13-D14-D16</f>
        <v>10206.055562</v>
      </c>
      <c r="E17" s="782">
        <f t="shared" si="1"/>
        <v>12620.6</v>
      </c>
      <c r="F17" s="782">
        <f t="shared" si="1"/>
        <v>0</v>
      </c>
      <c r="G17" s="782">
        <f t="shared" si="1"/>
        <v>0</v>
      </c>
      <c r="H17" s="782">
        <f t="shared" si="1"/>
        <v>11569.5514594</v>
      </c>
      <c r="I17" s="782">
        <f t="shared" si="1"/>
        <v>13082.591221409555</v>
      </c>
      <c r="J17" s="782">
        <f t="shared" si="1"/>
        <v>14785.728493409555</v>
      </c>
      <c r="K17" s="782">
        <f t="shared" si="1"/>
        <v>16689.598235809557</v>
      </c>
    </row>
    <row r="18" spans="1:11" ht="21" customHeight="1" thickTop="1">
      <c r="B18" s="437"/>
      <c r="C18" s="295"/>
      <c r="D18" s="1711">
        <f>D12-D15-8.58</f>
        <v>681.4360926380001</v>
      </c>
      <c r="E18" s="295"/>
      <c r="F18" s="295"/>
      <c r="G18" s="295"/>
      <c r="H18" s="295"/>
      <c r="I18" s="295"/>
    </row>
    <row r="19" spans="1:11" ht="21" customHeight="1"/>
    <row r="20" spans="1:11" ht="21" customHeight="1">
      <c r="E20" s="2003" t="s">
        <v>401</v>
      </c>
      <c r="F20" s="2003"/>
      <c r="G20" s="2003"/>
      <c r="H20" s="2003"/>
      <c r="I20" s="824"/>
    </row>
    <row r="21" spans="1:11" ht="21" customHeight="1">
      <c r="G21" s="360"/>
      <c r="H21" s="360"/>
      <c r="I21" s="812"/>
    </row>
    <row r="22" spans="1:11" ht="21" hidden="1" customHeight="1">
      <c r="G22" s="360"/>
      <c r="H22" s="360"/>
      <c r="I22" s="812"/>
    </row>
    <row r="23" spans="1:11" ht="21" hidden="1" customHeight="1">
      <c r="A23" s="438" t="s">
        <v>187</v>
      </c>
      <c r="B23" s="438"/>
      <c r="C23" s="438"/>
      <c r="D23" s="438"/>
      <c r="E23" s="438"/>
      <c r="F23" s="438"/>
      <c r="G23" s="438"/>
    </row>
    <row r="24" spans="1:11" ht="21" hidden="1" customHeight="1">
      <c r="A24" s="439">
        <v>1</v>
      </c>
      <c r="B24" s="440" t="s">
        <v>339</v>
      </c>
      <c r="C24" s="439" t="s">
        <v>372</v>
      </c>
      <c r="D24" s="441"/>
      <c r="E24" s="441"/>
      <c r="F24" s="441"/>
      <c r="G24" s="442"/>
    </row>
    <row r="25" spans="1:11" ht="21" hidden="1" customHeight="1">
      <c r="A25" s="439">
        <v>2</v>
      </c>
      <c r="B25" s="443" t="s">
        <v>343</v>
      </c>
      <c r="C25" s="439" t="s">
        <v>328</v>
      </c>
      <c r="D25" s="441"/>
      <c r="E25" s="441"/>
      <c r="F25" s="441"/>
      <c r="G25" s="442"/>
    </row>
    <row r="26" spans="1:11" ht="21" hidden="1" customHeight="1">
      <c r="A26" s="439">
        <v>3</v>
      </c>
      <c r="B26" s="443" t="s">
        <v>330</v>
      </c>
      <c r="C26" s="439" t="s">
        <v>328</v>
      </c>
      <c r="D26" s="441"/>
      <c r="E26" s="441"/>
      <c r="F26" s="441"/>
      <c r="G26" s="442"/>
    </row>
    <row r="27" spans="1:11" ht="21" hidden="1" customHeight="1">
      <c r="A27" s="439">
        <v>4</v>
      </c>
      <c r="B27" s="443" t="s">
        <v>331</v>
      </c>
      <c r="C27" s="439" t="s">
        <v>402</v>
      </c>
      <c r="D27" s="441"/>
      <c r="E27" s="441"/>
      <c r="F27" s="441"/>
      <c r="G27" s="442"/>
    </row>
    <row r="28" spans="1:11" ht="21" hidden="1" customHeight="1">
      <c r="A28" s="439">
        <v>5</v>
      </c>
      <c r="B28" s="443" t="s">
        <v>332</v>
      </c>
      <c r="C28" s="439"/>
      <c r="D28" s="441"/>
      <c r="E28" s="441"/>
      <c r="F28" s="441"/>
      <c r="G28" s="442"/>
    </row>
    <row r="29" spans="1:11" ht="21" hidden="1" customHeight="1"/>
  </sheetData>
  <mergeCells count="11">
    <mergeCell ref="J2:K2"/>
    <mergeCell ref="E20:H20"/>
    <mergeCell ref="A1:H1"/>
    <mergeCell ref="A4:A5"/>
    <mergeCell ref="B4:B5"/>
    <mergeCell ref="G2:H2"/>
    <mergeCell ref="C4:D4"/>
    <mergeCell ref="F3:H3"/>
    <mergeCell ref="A2:B3"/>
    <mergeCell ref="E4:H4"/>
    <mergeCell ref="I4:K4"/>
  </mergeCells>
  <pageMargins left="0.4" right="0.38" top="0.51" bottom="0.74803149606299213" header="0.31496062992125984" footer="0.31496062992125984"/>
  <pageSetup paperSize="9" scale="52" orientation="portrait"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4"/>
  </sheetPr>
  <dimension ref="A1:AD64"/>
  <sheetViews>
    <sheetView showGridLines="0" view="pageBreakPreview" topLeftCell="D32" zoomScale="70" zoomScaleNormal="70" zoomScaleSheetLayoutView="70" workbookViewId="0">
      <selection activeCell="G43" sqref="G43"/>
    </sheetView>
  </sheetViews>
  <sheetFormatPr defaultRowHeight="15.75"/>
  <cols>
    <col min="1" max="1" width="5.85546875" style="423" customWidth="1"/>
    <col min="2" max="2" width="55.140625" style="423" customWidth="1"/>
    <col min="3" max="3" width="17.85546875" style="450" customWidth="1"/>
    <col min="4" max="4" width="21.85546875" style="423" customWidth="1"/>
    <col min="5" max="5" width="26.140625" style="423" customWidth="1"/>
    <col min="6" max="6" width="21.7109375" style="423" customWidth="1"/>
    <col min="7" max="7" width="15.85546875" style="423" bestFit="1" customWidth="1"/>
    <col min="8" max="8" width="22.140625" style="423" customWidth="1"/>
    <col min="9" max="9" width="16.7109375" style="423" customWidth="1"/>
    <col min="10" max="10" width="8.140625" style="423" customWidth="1"/>
    <col min="11" max="11" width="7.42578125" style="423" customWidth="1"/>
    <col min="12" max="12" width="15.140625" style="423" customWidth="1"/>
    <col min="13" max="13" width="45" style="423" bestFit="1" customWidth="1"/>
    <col min="14" max="14" width="15.85546875" style="423" bestFit="1" customWidth="1"/>
    <col min="15" max="22" width="15.140625" style="423" customWidth="1"/>
    <col min="23" max="24" width="9.140625" style="423"/>
    <col min="25" max="25" width="46.7109375" style="423" customWidth="1"/>
    <col min="26" max="26" width="15.28515625" style="423" customWidth="1"/>
    <col min="27" max="27" width="24.42578125" style="423" bestFit="1" customWidth="1"/>
    <col min="28" max="28" width="15.7109375" style="423" bestFit="1" customWidth="1"/>
    <col min="29" max="29" width="18.85546875" style="423" customWidth="1"/>
    <col min="30" max="30" width="15.85546875" style="423" customWidth="1"/>
    <col min="31" max="31" width="11.5703125" style="423" bestFit="1" customWidth="1"/>
    <col min="32" max="32" width="11" style="423" bestFit="1" customWidth="1"/>
    <col min="33" max="33" width="11.5703125" style="423" bestFit="1" customWidth="1"/>
    <col min="34" max="34" width="14.42578125" style="423" bestFit="1" customWidth="1"/>
    <col min="35" max="255" width="9.140625" style="423"/>
    <col min="256" max="256" width="2.5703125" style="423" bestFit="1" customWidth="1"/>
    <col min="257" max="257" width="2.140625" style="423" bestFit="1" customWidth="1"/>
    <col min="258" max="258" width="66.7109375" style="423" bestFit="1" customWidth="1"/>
    <col min="259" max="259" width="11.28515625" style="423" bestFit="1" customWidth="1"/>
    <col min="260" max="260" width="9" style="423" bestFit="1" customWidth="1"/>
    <col min="261" max="511" width="9.140625" style="423"/>
    <col min="512" max="512" width="2.5703125" style="423" bestFit="1" customWidth="1"/>
    <col min="513" max="513" width="2.140625" style="423" bestFit="1" customWidth="1"/>
    <col min="514" max="514" width="66.7109375" style="423" bestFit="1" customWidth="1"/>
    <col min="515" max="515" width="11.28515625" style="423" bestFit="1" customWidth="1"/>
    <col min="516" max="516" width="9" style="423" bestFit="1" customWidth="1"/>
    <col min="517" max="767" width="9.140625" style="423"/>
    <col min="768" max="768" width="2.5703125" style="423" bestFit="1" customWidth="1"/>
    <col min="769" max="769" width="2.140625" style="423" bestFit="1" customWidth="1"/>
    <col min="770" max="770" width="66.7109375" style="423" bestFit="1" customWidth="1"/>
    <col min="771" max="771" width="11.28515625" style="423" bestFit="1" customWidth="1"/>
    <col min="772" max="772" width="9" style="423" bestFit="1" customWidth="1"/>
    <col min="773" max="1023" width="9.140625" style="423"/>
    <col min="1024" max="1024" width="2.5703125" style="423" bestFit="1" customWidth="1"/>
    <col min="1025" max="1025" width="2.140625" style="423" bestFit="1" customWidth="1"/>
    <col min="1026" max="1026" width="66.7109375" style="423" bestFit="1" customWidth="1"/>
    <col min="1027" max="1027" width="11.28515625" style="423" bestFit="1" customWidth="1"/>
    <col min="1028" max="1028" width="9" style="423" bestFit="1" customWidth="1"/>
    <col min="1029" max="1279" width="9.140625" style="423"/>
    <col min="1280" max="1280" width="2.5703125" style="423" bestFit="1" customWidth="1"/>
    <col min="1281" max="1281" width="2.140625" style="423" bestFit="1" customWidth="1"/>
    <col min="1282" max="1282" width="66.7109375" style="423" bestFit="1" customWidth="1"/>
    <col min="1283" max="1283" width="11.28515625" style="423" bestFit="1" customWidth="1"/>
    <col min="1284" max="1284" width="9" style="423" bestFit="1" customWidth="1"/>
    <col min="1285" max="1535" width="9.140625" style="423"/>
    <col min="1536" max="1536" width="2.5703125" style="423" bestFit="1" customWidth="1"/>
    <col min="1537" max="1537" width="2.140625" style="423" bestFit="1" customWidth="1"/>
    <col min="1538" max="1538" width="66.7109375" style="423" bestFit="1" customWidth="1"/>
    <col min="1539" max="1539" width="11.28515625" style="423" bestFit="1" customWidth="1"/>
    <col min="1540" max="1540" width="9" style="423" bestFit="1" customWidth="1"/>
    <col min="1541" max="1791" width="9.140625" style="423"/>
    <col min="1792" max="1792" width="2.5703125" style="423" bestFit="1" customWidth="1"/>
    <col min="1793" max="1793" width="2.140625" style="423" bestFit="1" customWidth="1"/>
    <col min="1794" max="1794" width="66.7109375" style="423" bestFit="1" customWidth="1"/>
    <col min="1795" max="1795" width="11.28515625" style="423" bestFit="1" customWidth="1"/>
    <col min="1796" max="1796" width="9" style="423" bestFit="1" customWidth="1"/>
    <col min="1797" max="2047" width="9.140625" style="423"/>
    <col min="2048" max="2048" width="2.5703125" style="423" bestFit="1" customWidth="1"/>
    <col min="2049" max="2049" width="2.140625" style="423" bestFit="1" customWidth="1"/>
    <col min="2050" max="2050" width="66.7109375" style="423" bestFit="1" customWidth="1"/>
    <col min="2051" max="2051" width="11.28515625" style="423" bestFit="1" customWidth="1"/>
    <col min="2052" max="2052" width="9" style="423" bestFit="1" customWidth="1"/>
    <col min="2053" max="2303" width="9.140625" style="423"/>
    <col min="2304" max="2304" width="2.5703125" style="423" bestFit="1" customWidth="1"/>
    <col min="2305" max="2305" width="2.140625" style="423" bestFit="1" customWidth="1"/>
    <col min="2306" max="2306" width="66.7109375" style="423" bestFit="1" customWidth="1"/>
    <col min="2307" max="2307" width="11.28515625" style="423" bestFit="1" customWidth="1"/>
    <col min="2308" max="2308" width="9" style="423" bestFit="1" customWidth="1"/>
    <col min="2309" max="2559" width="9.140625" style="423"/>
    <col min="2560" max="2560" width="2.5703125" style="423" bestFit="1" customWidth="1"/>
    <col min="2561" max="2561" width="2.140625" style="423" bestFit="1" customWidth="1"/>
    <col min="2562" max="2562" width="66.7109375" style="423" bestFit="1" customWidth="1"/>
    <col min="2563" max="2563" width="11.28515625" style="423" bestFit="1" customWidth="1"/>
    <col min="2564" max="2564" width="9" style="423" bestFit="1" customWidth="1"/>
    <col min="2565" max="2815" width="9.140625" style="423"/>
    <col min="2816" max="2816" width="2.5703125" style="423" bestFit="1" customWidth="1"/>
    <col min="2817" max="2817" width="2.140625" style="423" bestFit="1" customWidth="1"/>
    <col min="2818" max="2818" width="66.7109375" style="423" bestFit="1" customWidth="1"/>
    <col min="2819" max="2819" width="11.28515625" style="423" bestFit="1" customWidth="1"/>
    <col min="2820" max="2820" width="9" style="423" bestFit="1" customWidth="1"/>
    <col min="2821" max="3071" width="9.140625" style="423"/>
    <col min="3072" max="3072" width="2.5703125" style="423" bestFit="1" customWidth="1"/>
    <col min="3073" max="3073" width="2.140625" style="423" bestFit="1" customWidth="1"/>
    <col min="3074" max="3074" width="66.7109375" style="423" bestFit="1" customWidth="1"/>
    <col min="3075" max="3075" width="11.28515625" style="423" bestFit="1" customWidth="1"/>
    <col min="3076" max="3076" width="9" style="423" bestFit="1" customWidth="1"/>
    <col min="3077" max="3327" width="9.140625" style="423"/>
    <col min="3328" max="3328" width="2.5703125" style="423" bestFit="1" customWidth="1"/>
    <col min="3329" max="3329" width="2.140625" style="423" bestFit="1" customWidth="1"/>
    <col min="3330" max="3330" width="66.7109375" style="423" bestFit="1" customWidth="1"/>
    <col min="3331" max="3331" width="11.28515625" style="423" bestFit="1" customWidth="1"/>
    <col min="3332" max="3332" width="9" style="423" bestFit="1" customWidth="1"/>
    <col min="3333" max="3583" width="9.140625" style="423"/>
    <col min="3584" max="3584" width="2.5703125" style="423" bestFit="1" customWidth="1"/>
    <col min="3585" max="3585" width="2.140625" style="423" bestFit="1" customWidth="1"/>
    <col min="3586" max="3586" width="66.7109375" style="423" bestFit="1" customWidth="1"/>
    <col min="3587" max="3587" width="11.28515625" style="423" bestFit="1" customWidth="1"/>
    <col min="3588" max="3588" width="9" style="423" bestFit="1" customWidth="1"/>
    <col min="3589" max="3839" width="9.140625" style="423"/>
    <col min="3840" max="3840" width="2.5703125" style="423" bestFit="1" customWidth="1"/>
    <col min="3841" max="3841" width="2.140625" style="423" bestFit="1" customWidth="1"/>
    <col min="3842" max="3842" width="66.7109375" style="423" bestFit="1" customWidth="1"/>
    <col min="3843" max="3843" width="11.28515625" style="423" bestFit="1" customWidth="1"/>
    <col min="3844" max="3844" width="9" style="423" bestFit="1" customWidth="1"/>
    <col min="3845" max="4095" width="9.140625" style="423"/>
    <col min="4096" max="4096" width="2.5703125" style="423" bestFit="1" customWidth="1"/>
    <col min="4097" max="4097" width="2.140625" style="423" bestFit="1" customWidth="1"/>
    <col min="4098" max="4098" width="66.7109375" style="423" bestFit="1" customWidth="1"/>
    <col min="4099" max="4099" width="11.28515625" style="423" bestFit="1" customWidth="1"/>
    <col min="4100" max="4100" width="9" style="423" bestFit="1" customWidth="1"/>
    <col min="4101" max="4351" width="9.140625" style="423"/>
    <col min="4352" max="4352" width="2.5703125" style="423" bestFit="1" customWidth="1"/>
    <col min="4353" max="4353" width="2.140625" style="423" bestFit="1" customWidth="1"/>
    <col min="4354" max="4354" width="66.7109375" style="423" bestFit="1" customWidth="1"/>
    <col min="4355" max="4355" width="11.28515625" style="423" bestFit="1" customWidth="1"/>
    <col min="4356" max="4356" width="9" style="423" bestFit="1" customWidth="1"/>
    <col min="4357" max="4607" width="9.140625" style="423"/>
    <col min="4608" max="4608" width="2.5703125" style="423" bestFit="1" customWidth="1"/>
    <col min="4609" max="4609" width="2.140625" style="423" bestFit="1" customWidth="1"/>
    <col min="4610" max="4610" width="66.7109375" style="423" bestFit="1" customWidth="1"/>
    <col min="4611" max="4611" width="11.28515625" style="423" bestFit="1" customWidth="1"/>
    <col min="4612" max="4612" width="9" style="423" bestFit="1" customWidth="1"/>
    <col min="4613" max="4863" width="9.140625" style="423"/>
    <col min="4864" max="4864" width="2.5703125" style="423" bestFit="1" customWidth="1"/>
    <col min="4865" max="4865" width="2.140625" style="423" bestFit="1" customWidth="1"/>
    <col min="4866" max="4866" width="66.7109375" style="423" bestFit="1" customWidth="1"/>
    <col min="4867" max="4867" width="11.28515625" style="423" bestFit="1" customWidth="1"/>
    <col min="4868" max="4868" width="9" style="423" bestFit="1" customWidth="1"/>
    <col min="4869" max="5119" width="9.140625" style="423"/>
    <col min="5120" max="5120" width="2.5703125" style="423" bestFit="1" customWidth="1"/>
    <col min="5121" max="5121" width="2.140625" style="423" bestFit="1" customWidth="1"/>
    <col min="5122" max="5122" width="66.7109375" style="423" bestFit="1" customWidth="1"/>
    <col min="5123" max="5123" width="11.28515625" style="423" bestFit="1" customWidth="1"/>
    <col min="5124" max="5124" width="9" style="423" bestFit="1" customWidth="1"/>
    <col min="5125" max="5375" width="9.140625" style="423"/>
    <col min="5376" max="5376" width="2.5703125" style="423" bestFit="1" customWidth="1"/>
    <col min="5377" max="5377" width="2.140625" style="423" bestFit="1" customWidth="1"/>
    <col min="5378" max="5378" width="66.7109375" style="423" bestFit="1" customWidth="1"/>
    <col min="5379" max="5379" width="11.28515625" style="423" bestFit="1" customWidth="1"/>
    <col min="5380" max="5380" width="9" style="423" bestFit="1" customWidth="1"/>
    <col min="5381" max="5631" width="9.140625" style="423"/>
    <col min="5632" max="5632" width="2.5703125" style="423" bestFit="1" customWidth="1"/>
    <col min="5633" max="5633" width="2.140625" style="423" bestFit="1" customWidth="1"/>
    <col min="5634" max="5634" width="66.7109375" style="423" bestFit="1" customWidth="1"/>
    <col min="5635" max="5635" width="11.28515625" style="423" bestFit="1" customWidth="1"/>
    <col min="5636" max="5636" width="9" style="423" bestFit="1" customWidth="1"/>
    <col min="5637" max="5887" width="9.140625" style="423"/>
    <col min="5888" max="5888" width="2.5703125" style="423" bestFit="1" customWidth="1"/>
    <col min="5889" max="5889" width="2.140625" style="423" bestFit="1" customWidth="1"/>
    <col min="5890" max="5890" width="66.7109375" style="423" bestFit="1" customWidth="1"/>
    <col min="5891" max="5891" width="11.28515625" style="423" bestFit="1" customWidth="1"/>
    <col min="5892" max="5892" width="9" style="423" bestFit="1" customWidth="1"/>
    <col min="5893" max="6143" width="9.140625" style="423"/>
    <col min="6144" max="6144" width="2.5703125" style="423" bestFit="1" customWidth="1"/>
    <col min="6145" max="6145" width="2.140625" style="423" bestFit="1" customWidth="1"/>
    <col min="6146" max="6146" width="66.7109375" style="423" bestFit="1" customWidth="1"/>
    <col min="6147" max="6147" width="11.28515625" style="423" bestFit="1" customWidth="1"/>
    <col min="6148" max="6148" width="9" style="423" bestFit="1" customWidth="1"/>
    <col min="6149" max="6399" width="9.140625" style="423"/>
    <col min="6400" max="6400" width="2.5703125" style="423" bestFit="1" customWidth="1"/>
    <col min="6401" max="6401" width="2.140625" style="423" bestFit="1" customWidth="1"/>
    <col min="6402" max="6402" width="66.7109375" style="423" bestFit="1" customWidth="1"/>
    <col min="6403" max="6403" width="11.28515625" style="423" bestFit="1" customWidth="1"/>
    <col min="6404" max="6404" width="9" style="423" bestFit="1" customWidth="1"/>
    <col min="6405" max="6655" width="9.140625" style="423"/>
    <col min="6656" max="6656" width="2.5703125" style="423" bestFit="1" customWidth="1"/>
    <col min="6657" max="6657" width="2.140625" style="423" bestFit="1" customWidth="1"/>
    <col min="6658" max="6658" width="66.7109375" style="423" bestFit="1" customWidth="1"/>
    <col min="6659" max="6659" width="11.28515625" style="423" bestFit="1" customWidth="1"/>
    <col min="6660" max="6660" width="9" style="423" bestFit="1" customWidth="1"/>
    <col min="6661" max="6911" width="9.140625" style="423"/>
    <col min="6912" max="6912" width="2.5703125" style="423" bestFit="1" customWidth="1"/>
    <col min="6913" max="6913" width="2.140625" style="423" bestFit="1" customWidth="1"/>
    <col min="6914" max="6914" width="66.7109375" style="423" bestFit="1" customWidth="1"/>
    <col min="6915" max="6915" width="11.28515625" style="423" bestFit="1" customWidth="1"/>
    <col min="6916" max="6916" width="9" style="423" bestFit="1" customWidth="1"/>
    <col min="6917" max="7167" width="9.140625" style="423"/>
    <col min="7168" max="7168" width="2.5703125" style="423" bestFit="1" customWidth="1"/>
    <col min="7169" max="7169" width="2.140625" style="423" bestFit="1" customWidth="1"/>
    <col min="7170" max="7170" width="66.7109375" style="423" bestFit="1" customWidth="1"/>
    <col min="7171" max="7171" width="11.28515625" style="423" bestFit="1" customWidth="1"/>
    <col min="7172" max="7172" width="9" style="423" bestFit="1" customWidth="1"/>
    <col min="7173" max="7423" width="9.140625" style="423"/>
    <col min="7424" max="7424" width="2.5703125" style="423" bestFit="1" customWidth="1"/>
    <col min="7425" max="7425" width="2.140625" style="423" bestFit="1" customWidth="1"/>
    <col min="7426" max="7426" width="66.7109375" style="423" bestFit="1" customWidth="1"/>
    <col min="7427" max="7427" width="11.28515625" style="423" bestFit="1" customWidth="1"/>
    <col min="7428" max="7428" width="9" style="423" bestFit="1" customWidth="1"/>
    <col min="7429" max="7679" width="9.140625" style="423"/>
    <col min="7680" max="7680" width="2.5703125" style="423" bestFit="1" customWidth="1"/>
    <col min="7681" max="7681" width="2.140625" style="423" bestFit="1" customWidth="1"/>
    <col min="7682" max="7682" width="66.7109375" style="423" bestFit="1" customWidth="1"/>
    <col min="7683" max="7683" width="11.28515625" style="423" bestFit="1" customWidth="1"/>
    <col min="7684" max="7684" width="9" style="423" bestFit="1" customWidth="1"/>
    <col min="7685" max="7935" width="9.140625" style="423"/>
    <col min="7936" max="7936" width="2.5703125" style="423" bestFit="1" customWidth="1"/>
    <col min="7937" max="7937" width="2.140625" style="423" bestFit="1" customWidth="1"/>
    <col min="7938" max="7938" width="66.7109375" style="423" bestFit="1" customWidth="1"/>
    <col min="7939" max="7939" width="11.28515625" style="423" bestFit="1" customWidth="1"/>
    <col min="7940" max="7940" width="9" style="423" bestFit="1" customWidth="1"/>
    <col min="7941" max="8191" width="9.140625" style="423"/>
    <col min="8192" max="8192" width="2.5703125" style="423" bestFit="1" customWidth="1"/>
    <col min="8193" max="8193" width="2.140625" style="423" bestFit="1" customWidth="1"/>
    <col min="8194" max="8194" width="66.7109375" style="423" bestFit="1" customWidth="1"/>
    <col min="8195" max="8195" width="11.28515625" style="423" bestFit="1" customWidth="1"/>
    <col min="8196" max="8196" width="9" style="423" bestFit="1" customWidth="1"/>
    <col min="8197" max="8447" width="9.140625" style="423"/>
    <col min="8448" max="8448" width="2.5703125" style="423" bestFit="1" customWidth="1"/>
    <col min="8449" max="8449" width="2.140625" style="423" bestFit="1" customWidth="1"/>
    <col min="8450" max="8450" width="66.7109375" style="423" bestFit="1" customWidth="1"/>
    <col min="8451" max="8451" width="11.28515625" style="423" bestFit="1" customWidth="1"/>
    <col min="8452" max="8452" width="9" style="423" bestFit="1" customWidth="1"/>
    <col min="8453" max="8703" width="9.140625" style="423"/>
    <col min="8704" max="8704" width="2.5703125" style="423" bestFit="1" customWidth="1"/>
    <col min="8705" max="8705" width="2.140625" style="423" bestFit="1" customWidth="1"/>
    <col min="8706" max="8706" width="66.7109375" style="423" bestFit="1" customWidth="1"/>
    <col min="8707" max="8707" width="11.28515625" style="423" bestFit="1" customWidth="1"/>
    <col min="8708" max="8708" width="9" style="423" bestFit="1" customWidth="1"/>
    <col min="8709" max="8959" width="9.140625" style="423"/>
    <col min="8960" max="8960" width="2.5703125" style="423" bestFit="1" customWidth="1"/>
    <col min="8961" max="8961" width="2.140625" style="423" bestFit="1" customWidth="1"/>
    <col min="8962" max="8962" width="66.7109375" style="423" bestFit="1" customWidth="1"/>
    <col min="8963" max="8963" width="11.28515625" style="423" bestFit="1" customWidth="1"/>
    <col min="8964" max="8964" width="9" style="423" bestFit="1" customWidth="1"/>
    <col min="8965" max="9215" width="9.140625" style="423"/>
    <col min="9216" max="9216" width="2.5703125" style="423" bestFit="1" customWidth="1"/>
    <col min="9217" max="9217" width="2.140625" style="423" bestFit="1" customWidth="1"/>
    <col min="9218" max="9218" width="66.7109375" style="423" bestFit="1" customWidth="1"/>
    <col min="9219" max="9219" width="11.28515625" style="423" bestFit="1" customWidth="1"/>
    <col min="9220" max="9220" width="9" style="423" bestFit="1" customWidth="1"/>
    <col min="9221" max="9471" width="9.140625" style="423"/>
    <col min="9472" max="9472" width="2.5703125" style="423" bestFit="1" customWidth="1"/>
    <col min="9473" max="9473" width="2.140625" style="423" bestFit="1" customWidth="1"/>
    <col min="9474" max="9474" width="66.7109375" style="423" bestFit="1" customWidth="1"/>
    <col min="9475" max="9475" width="11.28515625" style="423" bestFit="1" customWidth="1"/>
    <col min="9476" max="9476" width="9" style="423" bestFit="1" customWidth="1"/>
    <col min="9477" max="9727" width="9.140625" style="423"/>
    <col min="9728" max="9728" width="2.5703125" style="423" bestFit="1" customWidth="1"/>
    <col min="9729" max="9729" width="2.140625" style="423" bestFit="1" customWidth="1"/>
    <col min="9730" max="9730" width="66.7109375" style="423" bestFit="1" customWidth="1"/>
    <col min="9731" max="9731" width="11.28515625" style="423" bestFit="1" customWidth="1"/>
    <col min="9732" max="9732" width="9" style="423" bestFit="1" customWidth="1"/>
    <col min="9733" max="9983" width="9.140625" style="423"/>
    <col min="9984" max="9984" width="2.5703125" style="423" bestFit="1" customWidth="1"/>
    <col min="9985" max="9985" width="2.140625" style="423" bestFit="1" customWidth="1"/>
    <col min="9986" max="9986" width="66.7109375" style="423" bestFit="1" customWidth="1"/>
    <col min="9987" max="9987" width="11.28515625" style="423" bestFit="1" customWidth="1"/>
    <col min="9988" max="9988" width="9" style="423" bestFit="1" customWidth="1"/>
    <col min="9989" max="10239" width="9.140625" style="423"/>
    <col min="10240" max="10240" width="2.5703125" style="423" bestFit="1" customWidth="1"/>
    <col min="10241" max="10241" width="2.140625" style="423" bestFit="1" customWidth="1"/>
    <col min="10242" max="10242" width="66.7109375" style="423" bestFit="1" customWidth="1"/>
    <col min="10243" max="10243" width="11.28515625" style="423" bestFit="1" customWidth="1"/>
    <col min="10244" max="10244" width="9" style="423" bestFit="1" customWidth="1"/>
    <col min="10245" max="10495" width="9.140625" style="423"/>
    <col min="10496" max="10496" width="2.5703125" style="423" bestFit="1" customWidth="1"/>
    <col min="10497" max="10497" width="2.140625" style="423" bestFit="1" customWidth="1"/>
    <col min="10498" max="10498" width="66.7109375" style="423" bestFit="1" customWidth="1"/>
    <col min="10499" max="10499" width="11.28515625" style="423" bestFit="1" customWidth="1"/>
    <col min="10500" max="10500" width="9" style="423" bestFit="1" customWidth="1"/>
    <col min="10501" max="10751" width="9.140625" style="423"/>
    <col min="10752" max="10752" width="2.5703125" style="423" bestFit="1" customWidth="1"/>
    <col min="10753" max="10753" width="2.140625" style="423" bestFit="1" customWidth="1"/>
    <col min="10754" max="10754" width="66.7109375" style="423" bestFit="1" customWidth="1"/>
    <col min="10755" max="10755" width="11.28515625" style="423" bestFit="1" customWidth="1"/>
    <col min="10756" max="10756" width="9" style="423" bestFit="1" customWidth="1"/>
    <col min="10757" max="11007" width="9.140625" style="423"/>
    <col min="11008" max="11008" width="2.5703125" style="423" bestFit="1" customWidth="1"/>
    <col min="11009" max="11009" width="2.140625" style="423" bestFit="1" customWidth="1"/>
    <col min="11010" max="11010" width="66.7109375" style="423" bestFit="1" customWidth="1"/>
    <col min="11011" max="11011" width="11.28515625" style="423" bestFit="1" customWidth="1"/>
    <col min="11012" max="11012" width="9" style="423" bestFit="1" customWidth="1"/>
    <col min="11013" max="11263" width="9.140625" style="423"/>
    <col min="11264" max="11264" width="2.5703125" style="423" bestFit="1" customWidth="1"/>
    <col min="11265" max="11265" width="2.140625" style="423" bestFit="1" customWidth="1"/>
    <col min="11266" max="11266" width="66.7109375" style="423" bestFit="1" customWidth="1"/>
    <col min="11267" max="11267" width="11.28515625" style="423" bestFit="1" customWidth="1"/>
    <col min="11268" max="11268" width="9" style="423" bestFit="1" customWidth="1"/>
    <col min="11269" max="11519" width="9.140625" style="423"/>
    <col min="11520" max="11520" width="2.5703125" style="423" bestFit="1" customWidth="1"/>
    <col min="11521" max="11521" width="2.140625" style="423" bestFit="1" customWidth="1"/>
    <col min="11522" max="11522" width="66.7109375" style="423" bestFit="1" customWidth="1"/>
    <col min="11523" max="11523" width="11.28515625" style="423" bestFit="1" customWidth="1"/>
    <col min="11524" max="11524" width="9" style="423" bestFit="1" customWidth="1"/>
    <col min="11525" max="11775" width="9.140625" style="423"/>
    <col min="11776" max="11776" width="2.5703125" style="423" bestFit="1" customWidth="1"/>
    <col min="11777" max="11777" width="2.140625" style="423" bestFit="1" customWidth="1"/>
    <col min="11778" max="11778" width="66.7109375" style="423" bestFit="1" customWidth="1"/>
    <col min="11779" max="11779" width="11.28515625" style="423" bestFit="1" customWidth="1"/>
    <col min="11780" max="11780" width="9" style="423" bestFit="1" customWidth="1"/>
    <col min="11781" max="12031" width="9.140625" style="423"/>
    <col min="12032" max="12032" width="2.5703125" style="423" bestFit="1" customWidth="1"/>
    <col min="12033" max="12033" width="2.140625" style="423" bestFit="1" customWidth="1"/>
    <col min="12034" max="12034" width="66.7109375" style="423" bestFit="1" customWidth="1"/>
    <col min="12035" max="12035" width="11.28515625" style="423" bestFit="1" customWidth="1"/>
    <col min="12036" max="12036" width="9" style="423" bestFit="1" customWidth="1"/>
    <col min="12037" max="12287" width="9.140625" style="423"/>
    <col min="12288" max="12288" width="2.5703125" style="423" bestFit="1" customWidth="1"/>
    <col min="12289" max="12289" width="2.140625" style="423" bestFit="1" customWidth="1"/>
    <col min="12290" max="12290" width="66.7109375" style="423" bestFit="1" customWidth="1"/>
    <col min="12291" max="12291" width="11.28515625" style="423" bestFit="1" customWidth="1"/>
    <col min="12292" max="12292" width="9" style="423" bestFit="1" customWidth="1"/>
    <col min="12293" max="12543" width="9.140625" style="423"/>
    <col min="12544" max="12544" width="2.5703125" style="423" bestFit="1" customWidth="1"/>
    <col min="12545" max="12545" width="2.140625" style="423" bestFit="1" customWidth="1"/>
    <col min="12546" max="12546" width="66.7109375" style="423" bestFit="1" customWidth="1"/>
    <col min="12547" max="12547" width="11.28515625" style="423" bestFit="1" customWidth="1"/>
    <col min="12548" max="12548" width="9" style="423" bestFit="1" customWidth="1"/>
    <col min="12549" max="12799" width="9.140625" style="423"/>
    <col min="12800" max="12800" width="2.5703125" style="423" bestFit="1" customWidth="1"/>
    <col min="12801" max="12801" width="2.140625" style="423" bestFit="1" customWidth="1"/>
    <col min="12802" max="12802" width="66.7109375" style="423" bestFit="1" customWidth="1"/>
    <col min="12803" max="12803" width="11.28515625" style="423" bestFit="1" customWidth="1"/>
    <col min="12804" max="12804" width="9" style="423" bestFit="1" customWidth="1"/>
    <col min="12805" max="13055" width="9.140625" style="423"/>
    <col min="13056" max="13056" width="2.5703125" style="423" bestFit="1" customWidth="1"/>
    <col min="13057" max="13057" width="2.140625" style="423" bestFit="1" customWidth="1"/>
    <col min="13058" max="13058" width="66.7109375" style="423" bestFit="1" customWidth="1"/>
    <col min="13059" max="13059" width="11.28515625" style="423" bestFit="1" customWidth="1"/>
    <col min="13060" max="13060" width="9" style="423" bestFit="1" customWidth="1"/>
    <col min="13061" max="13311" width="9.140625" style="423"/>
    <col min="13312" max="13312" width="2.5703125" style="423" bestFit="1" customWidth="1"/>
    <col min="13313" max="13313" width="2.140625" style="423" bestFit="1" customWidth="1"/>
    <col min="13314" max="13314" width="66.7109375" style="423" bestFit="1" customWidth="1"/>
    <col min="13315" max="13315" width="11.28515625" style="423" bestFit="1" customWidth="1"/>
    <col min="13316" max="13316" width="9" style="423" bestFit="1" customWidth="1"/>
    <col min="13317" max="13567" width="9.140625" style="423"/>
    <col min="13568" max="13568" width="2.5703125" style="423" bestFit="1" customWidth="1"/>
    <col min="13569" max="13569" width="2.140625" style="423" bestFit="1" customWidth="1"/>
    <col min="13570" max="13570" width="66.7109375" style="423" bestFit="1" customWidth="1"/>
    <col min="13571" max="13571" width="11.28515625" style="423" bestFit="1" customWidth="1"/>
    <col min="13572" max="13572" width="9" style="423" bestFit="1" customWidth="1"/>
    <col min="13573" max="13823" width="9.140625" style="423"/>
    <col min="13824" max="13824" width="2.5703125" style="423" bestFit="1" customWidth="1"/>
    <col min="13825" max="13825" width="2.140625" style="423" bestFit="1" customWidth="1"/>
    <col min="13826" max="13826" width="66.7109375" style="423" bestFit="1" customWidth="1"/>
    <col min="13827" max="13827" width="11.28515625" style="423" bestFit="1" customWidth="1"/>
    <col min="13828" max="13828" width="9" style="423" bestFit="1" customWidth="1"/>
    <col min="13829" max="14079" width="9.140625" style="423"/>
    <col min="14080" max="14080" width="2.5703125" style="423" bestFit="1" customWidth="1"/>
    <col min="14081" max="14081" width="2.140625" style="423" bestFit="1" customWidth="1"/>
    <col min="14082" max="14082" width="66.7109375" style="423" bestFit="1" customWidth="1"/>
    <col min="14083" max="14083" width="11.28515625" style="423" bestFit="1" customWidth="1"/>
    <col min="14084" max="14084" width="9" style="423" bestFit="1" customWidth="1"/>
    <col min="14085" max="14335" width="9.140625" style="423"/>
    <col min="14336" max="14336" width="2.5703125" style="423" bestFit="1" customWidth="1"/>
    <col min="14337" max="14337" width="2.140625" style="423" bestFit="1" customWidth="1"/>
    <col min="14338" max="14338" width="66.7109375" style="423" bestFit="1" customWidth="1"/>
    <col min="14339" max="14339" width="11.28515625" style="423" bestFit="1" customWidth="1"/>
    <col min="14340" max="14340" width="9" style="423" bestFit="1" customWidth="1"/>
    <col min="14341" max="14591" width="9.140625" style="423"/>
    <col min="14592" max="14592" width="2.5703125" style="423" bestFit="1" customWidth="1"/>
    <col min="14593" max="14593" width="2.140625" style="423" bestFit="1" customWidth="1"/>
    <col min="14594" max="14594" width="66.7109375" style="423" bestFit="1" customWidth="1"/>
    <col min="14595" max="14595" width="11.28515625" style="423" bestFit="1" customWidth="1"/>
    <col min="14596" max="14596" width="9" style="423" bestFit="1" customWidth="1"/>
    <col min="14597" max="14847" width="9.140625" style="423"/>
    <col min="14848" max="14848" width="2.5703125" style="423" bestFit="1" customWidth="1"/>
    <col min="14849" max="14849" width="2.140625" style="423" bestFit="1" customWidth="1"/>
    <col min="14850" max="14850" width="66.7109375" style="423" bestFit="1" customWidth="1"/>
    <col min="14851" max="14851" width="11.28515625" style="423" bestFit="1" customWidth="1"/>
    <col min="14852" max="14852" width="9" style="423" bestFit="1" customWidth="1"/>
    <col min="14853" max="15103" width="9.140625" style="423"/>
    <col min="15104" max="15104" width="2.5703125" style="423" bestFit="1" customWidth="1"/>
    <col min="15105" max="15105" width="2.140625" style="423" bestFit="1" customWidth="1"/>
    <col min="15106" max="15106" width="66.7109375" style="423" bestFit="1" customWidth="1"/>
    <col min="15107" max="15107" width="11.28515625" style="423" bestFit="1" customWidth="1"/>
    <col min="15108" max="15108" width="9" style="423" bestFit="1" customWidth="1"/>
    <col min="15109" max="15359" width="9.140625" style="423"/>
    <col min="15360" max="15360" width="2.5703125" style="423" bestFit="1" customWidth="1"/>
    <col min="15361" max="15361" width="2.140625" style="423" bestFit="1" customWidth="1"/>
    <col min="15362" max="15362" width="66.7109375" style="423" bestFit="1" customWidth="1"/>
    <col min="15363" max="15363" width="11.28515625" style="423" bestFit="1" customWidth="1"/>
    <col min="15364" max="15364" width="9" style="423" bestFit="1" customWidth="1"/>
    <col min="15365" max="15615" width="9.140625" style="423"/>
    <col min="15616" max="15616" width="2.5703125" style="423" bestFit="1" customWidth="1"/>
    <col min="15617" max="15617" width="2.140625" style="423" bestFit="1" customWidth="1"/>
    <col min="15618" max="15618" width="66.7109375" style="423" bestFit="1" customWidth="1"/>
    <col min="15619" max="15619" width="11.28515625" style="423" bestFit="1" customWidth="1"/>
    <col min="15620" max="15620" width="9" style="423" bestFit="1" customWidth="1"/>
    <col min="15621" max="15871" width="9.140625" style="423"/>
    <col min="15872" max="15872" width="2.5703125" style="423" bestFit="1" customWidth="1"/>
    <col min="15873" max="15873" width="2.140625" style="423" bestFit="1" customWidth="1"/>
    <col min="15874" max="15874" width="66.7109375" style="423" bestFit="1" customWidth="1"/>
    <col min="15875" max="15875" width="11.28515625" style="423" bestFit="1" customWidth="1"/>
    <col min="15876" max="15876" width="9" style="423" bestFit="1" customWidth="1"/>
    <col min="15877" max="16127" width="9.140625" style="423"/>
    <col min="16128" max="16128" width="2.5703125" style="423" bestFit="1" customWidth="1"/>
    <col min="16129" max="16129" width="2.140625" style="423" bestFit="1" customWidth="1"/>
    <col min="16130" max="16130" width="66.7109375" style="423" bestFit="1" customWidth="1"/>
    <col min="16131" max="16131" width="11.28515625" style="423" bestFit="1" customWidth="1"/>
    <col min="16132" max="16132" width="9" style="423" bestFit="1" customWidth="1"/>
    <col min="16133" max="16384" width="9.140625" style="423"/>
  </cols>
  <sheetData>
    <row r="1" spans="1:22" ht="21" customHeight="1">
      <c r="B1" s="1638" t="s">
        <v>1158</v>
      </c>
      <c r="C1" s="382"/>
      <c r="D1" s="382"/>
      <c r="E1" s="382"/>
      <c r="F1" s="382"/>
      <c r="G1" s="382"/>
      <c r="H1" s="382"/>
      <c r="I1" s="382"/>
      <c r="U1" s="2011"/>
      <c r="V1" s="2011"/>
    </row>
    <row r="2" spans="1:22" s="445" customFormat="1" ht="57.75" customHeight="1">
      <c r="B2" s="2009" t="s">
        <v>896</v>
      </c>
      <c r="C2" s="2009"/>
      <c r="D2" s="2009"/>
      <c r="E2" s="2009"/>
      <c r="F2" s="2009"/>
      <c r="G2" s="433"/>
      <c r="H2" s="433"/>
      <c r="I2" s="433"/>
      <c r="J2" s="433"/>
      <c r="K2" s="433"/>
      <c r="L2" s="433"/>
      <c r="M2" s="433"/>
      <c r="N2" s="433"/>
      <c r="O2" s="433"/>
      <c r="P2" s="433"/>
      <c r="Q2" s="433"/>
      <c r="R2" s="433"/>
      <c r="S2" s="433"/>
      <c r="T2" s="433"/>
      <c r="U2" s="433"/>
      <c r="V2" s="433"/>
    </row>
    <row r="3" spans="1:22" s="445" customFormat="1">
      <c r="A3" s="459"/>
      <c r="B3" s="459"/>
      <c r="C3" s="433"/>
      <c r="D3" s="433"/>
      <c r="E3" s="433"/>
      <c r="F3" s="433"/>
      <c r="G3" s="433"/>
      <c r="H3" s="433"/>
      <c r="I3" s="433"/>
      <c r="J3" s="2012"/>
      <c r="K3" s="2012"/>
      <c r="L3" s="2012"/>
      <c r="M3" s="2012"/>
      <c r="N3" s="433"/>
      <c r="O3" s="433"/>
      <c r="P3" s="433"/>
      <c r="Q3" s="433"/>
      <c r="R3" s="1995"/>
      <c r="S3" s="1995"/>
      <c r="T3" s="1995" t="s">
        <v>859</v>
      </c>
      <c r="U3" s="1995"/>
      <c r="V3" s="434"/>
    </row>
    <row r="4" spans="1:22" ht="47.25">
      <c r="A4" s="855" t="s">
        <v>623</v>
      </c>
      <c r="B4" s="855" t="s">
        <v>748</v>
      </c>
      <c r="C4" s="856" t="s">
        <v>749</v>
      </c>
      <c r="D4" s="856" t="s">
        <v>750</v>
      </c>
      <c r="E4" s="856" t="s">
        <v>751</v>
      </c>
      <c r="F4" s="856" t="s">
        <v>752</v>
      </c>
      <c r="G4"/>
      <c r="H4"/>
      <c r="I4"/>
      <c r="J4"/>
    </row>
    <row r="5" spans="1:22">
      <c r="A5" s="408">
        <v>1</v>
      </c>
      <c r="B5" s="408">
        <v>2</v>
      </c>
      <c r="C5" s="407"/>
      <c r="D5" s="407"/>
      <c r="E5" s="407"/>
      <c r="F5" s="412"/>
    </row>
    <row r="6" spans="1:22">
      <c r="A6" s="408">
        <v>1</v>
      </c>
      <c r="B6" s="409" t="s">
        <v>755</v>
      </c>
      <c r="C6" s="899">
        <f>[128]PPE2021!$B$13/[128]PPE2021!$L$13*$C$16</f>
        <v>1630.9391524235195</v>
      </c>
      <c r="D6" s="447">
        <f>[128]PPE2021!$B$14/10^7</f>
        <v>33.306672900000002</v>
      </c>
      <c r="E6" s="447"/>
      <c r="F6" s="448">
        <f t="shared" ref="F6:F15" si="0">C6+D6-E6</f>
        <v>1664.2458253235195</v>
      </c>
    </row>
    <row r="7" spans="1:22">
      <c r="A7" s="408">
        <v>2</v>
      </c>
      <c r="B7" s="409" t="s">
        <v>756</v>
      </c>
      <c r="C7" s="899">
        <f>[128]PPE2021!$C$13/[128]PPE2021!$L$13*$C$16</f>
        <v>39.540914172628099</v>
      </c>
      <c r="D7" s="447">
        <f>[128]PPE2021!$C$14/10^7</f>
        <v>10.3914066</v>
      </c>
      <c r="E7" s="898">
        <f>[128]PPE2021!$C$15/10^7</f>
        <v>1.7770000000000001E-4</v>
      </c>
      <c r="F7" s="448">
        <f t="shared" si="0"/>
        <v>49.932143072628101</v>
      </c>
    </row>
    <row r="8" spans="1:22">
      <c r="A8" s="408">
        <v>3</v>
      </c>
      <c r="B8" s="409" t="s">
        <v>757</v>
      </c>
      <c r="C8" s="900">
        <f>[128]PPE2021!$D$13/[128]PPE2021!$L$13*$C$16</f>
        <v>4.8924909706764838E-3</v>
      </c>
      <c r="D8" s="447">
        <f>[128]PPE2021!$D$14/10^7</f>
        <v>3.0671638000000001E-2</v>
      </c>
      <c r="E8" s="447"/>
      <c r="F8" s="448">
        <f t="shared" si="0"/>
        <v>3.5564128970676484E-2</v>
      </c>
    </row>
    <row r="9" spans="1:22">
      <c r="A9" s="408">
        <v>4</v>
      </c>
      <c r="B9" s="409" t="s">
        <v>758</v>
      </c>
      <c r="C9" s="901">
        <f>[128]PPE2021!$E$13/[128]PPE2021!$L$13*$C$16</f>
        <v>262.92979666288534</v>
      </c>
      <c r="D9" s="447">
        <f>[128]PPE2021!$E$14/10^7</f>
        <v>47.609794999999998</v>
      </c>
      <c r="E9" s="447">
        <f>[128]PPE2021!$E$15/10^7</f>
        <v>3.0671638000000001E-2</v>
      </c>
      <c r="F9" s="448">
        <f t="shared" si="0"/>
        <v>310.50892002488536</v>
      </c>
    </row>
    <row r="10" spans="1:22">
      <c r="A10" s="408">
        <v>5</v>
      </c>
      <c r="B10" s="409" t="s">
        <v>759</v>
      </c>
      <c r="C10" s="901">
        <f>[128]PPE2021!$F$13/[128]PPE2021!$L$13*$C$16</f>
        <v>3998.6703042570457</v>
      </c>
      <c r="D10" s="447">
        <f>[128]PPE2021!$F$14/10^7</f>
        <v>442.67921480000001</v>
      </c>
      <c r="E10" s="447">
        <f>[128]PPE2021!$F$15/10^7</f>
        <v>0.1515</v>
      </c>
      <c r="F10" s="448">
        <f t="shared" si="0"/>
        <v>4441.1980190570457</v>
      </c>
    </row>
    <row r="11" spans="1:22">
      <c r="A11" s="408">
        <v>6</v>
      </c>
      <c r="B11" s="409" t="s">
        <v>760</v>
      </c>
      <c r="C11" s="901">
        <f>[128]PPE2021!$G$13/[128]PPE2021!$L$13*$C$16</f>
        <v>3539.6565799921418</v>
      </c>
      <c r="D11" s="447">
        <f>[128]PPE2021!$G$14/10^7</f>
        <v>179.14513529999999</v>
      </c>
      <c r="E11" s="447">
        <f>[128]PPE2021!$G$15/10^7</f>
        <v>3.3901683999999999</v>
      </c>
      <c r="F11" s="448">
        <f t="shared" si="0"/>
        <v>3715.4115468921418</v>
      </c>
    </row>
    <row r="12" spans="1:22">
      <c r="A12" s="408">
        <v>7</v>
      </c>
      <c r="B12" s="409" t="s">
        <v>654</v>
      </c>
      <c r="C12" s="901">
        <f>[128]PPE2021!$H$13/[128]PPE2021!$L$13*$C$16</f>
        <v>0</v>
      </c>
      <c r="D12" s="447">
        <f>[128]PPE2021!$H$14/10^7</f>
        <v>0</v>
      </c>
      <c r="E12" s="447">
        <f>[128]PPE2021!$H$15/10^7</f>
        <v>0</v>
      </c>
      <c r="F12" s="448">
        <f t="shared" si="0"/>
        <v>0</v>
      </c>
    </row>
    <row r="13" spans="1:22">
      <c r="A13" s="408">
        <v>8</v>
      </c>
      <c r="B13" s="409" t="s">
        <v>761</v>
      </c>
      <c r="C13" s="901">
        <f>[128]PPE2021!$I$13/[128]PPE2021!$L$13*$C$16</f>
        <v>9.1495016266364324</v>
      </c>
      <c r="D13" s="447">
        <f>[128]PPE2021!$I$14/10^7</f>
        <v>1.4041077</v>
      </c>
      <c r="E13" s="447">
        <f>[128]PPE2021!$I$15/10^7</f>
        <v>2.6576599999999999E-2</v>
      </c>
      <c r="F13" s="448">
        <f t="shared" si="0"/>
        <v>10.527032726636433</v>
      </c>
    </row>
    <row r="14" spans="1:22">
      <c r="A14" s="408">
        <v>9</v>
      </c>
      <c r="B14" s="409" t="s">
        <v>762</v>
      </c>
      <c r="C14" s="901">
        <f>[128]PPE2021!$J$13/[128]PPE2021!$L$13*$C$16</f>
        <v>2.4262795015536129</v>
      </c>
      <c r="D14" s="447">
        <f>[128]PPE2021!$J$14/10^7</f>
        <v>0.5254238</v>
      </c>
      <c r="E14" s="447">
        <f>[128]PPE2021!$J$15/10^7</f>
        <v>5.81092E-2</v>
      </c>
      <c r="F14" s="448">
        <f t="shared" si="0"/>
        <v>2.8935941015536129</v>
      </c>
    </row>
    <row r="15" spans="1:22">
      <c r="A15" s="408">
        <v>10</v>
      </c>
      <c r="B15" s="409" t="s">
        <v>1827</v>
      </c>
      <c r="C15" s="901">
        <f>[128]PPE2021!$K$13/[128]PPE2021!$L$13*$C$16</f>
        <v>3.072578872617425</v>
      </c>
      <c r="D15" s="447">
        <f>[128]PPE2021!$K$14/10^7</f>
        <v>8.2303377999999991</v>
      </c>
      <c r="E15" s="447">
        <f>[128]PPE2021!$K$15/10^7</f>
        <v>0</v>
      </c>
      <c r="F15" s="448">
        <f t="shared" si="0"/>
        <v>11.302916672617425</v>
      </c>
    </row>
    <row r="16" spans="1:22">
      <c r="A16" s="408"/>
      <c r="B16" s="391" t="s">
        <v>68</v>
      </c>
      <c r="C16" s="902">
        <f>'F7-1'!D7</f>
        <v>9486.39</v>
      </c>
      <c r="D16" s="449">
        <f>SUM(D6:D15)</f>
        <v>723.32276553800011</v>
      </c>
      <c r="E16" s="449">
        <f>SUM(E6:E15)</f>
        <v>3.6572035379999996</v>
      </c>
      <c r="F16" s="449">
        <f>SUM(F6:F15)</f>
        <v>10206.055561999998</v>
      </c>
    </row>
    <row r="17" spans="1:30" ht="21" customHeight="1">
      <c r="K17" s="451"/>
    </row>
    <row r="18" spans="1:30" ht="21" customHeight="1">
      <c r="B18" s="455" t="s">
        <v>1853</v>
      </c>
      <c r="K18" s="451"/>
    </row>
    <row r="19" spans="1:30" ht="33" customHeight="1">
      <c r="A19" s="2014" t="s">
        <v>623</v>
      </c>
      <c r="B19" s="2013" t="s">
        <v>48</v>
      </c>
      <c r="C19" s="1829" t="s">
        <v>1846</v>
      </c>
      <c r="D19" s="1831"/>
      <c r="E19" s="1824" t="s">
        <v>1847</v>
      </c>
      <c r="F19" s="1825"/>
      <c r="G19" s="1820" t="s">
        <v>1159</v>
      </c>
      <c r="H19" s="1820"/>
      <c r="I19" s="1820"/>
      <c r="J19" s="433"/>
    </row>
    <row r="20" spans="1:30" s="460" customFormat="1" ht="47.25">
      <c r="A20" s="1844"/>
      <c r="B20" s="2013"/>
      <c r="C20" s="361" t="s">
        <v>1172</v>
      </c>
      <c r="D20" s="282" t="s">
        <v>230</v>
      </c>
      <c r="E20" s="361" t="s">
        <v>1160</v>
      </c>
      <c r="F20" s="363" t="s">
        <v>1165</v>
      </c>
      <c r="G20" s="361" t="s">
        <v>1841</v>
      </c>
      <c r="H20" s="361" t="s">
        <v>1842</v>
      </c>
      <c r="I20" s="805" t="s">
        <v>1843</v>
      </c>
    </row>
    <row r="21" spans="1:30" ht="21" customHeight="1">
      <c r="A21" s="368">
        <v>1</v>
      </c>
      <c r="B21" s="452" t="s">
        <v>604</v>
      </c>
      <c r="C21" s="458">
        <f>'F7-1'!C7</f>
        <v>9005.5300000000007</v>
      </c>
      <c r="D21" s="458">
        <f>'F7-1'!D7</f>
        <v>9486.39</v>
      </c>
      <c r="E21" s="458">
        <f>'F7-1'!E7</f>
        <v>10921.18</v>
      </c>
      <c r="F21" s="458">
        <f>'F7-1'!H7</f>
        <v>10206.055562</v>
      </c>
      <c r="G21" s="458">
        <f>'F7-1'!I7</f>
        <v>11569.5514594</v>
      </c>
      <c r="H21" s="458">
        <f>'F7-1'!J7</f>
        <v>13082.591221409555</v>
      </c>
      <c r="I21" s="458">
        <f>'F7-1'!K7</f>
        <v>14785.728493409555</v>
      </c>
      <c r="N21" s="792"/>
      <c r="P21" s="453"/>
    </row>
    <row r="22" spans="1:30" s="455" customFormat="1" ht="16.5">
      <c r="A22" s="368" t="s">
        <v>64</v>
      </c>
      <c r="B22" s="452" t="s">
        <v>605</v>
      </c>
      <c r="C22" s="458">
        <f>'F7-1'!C12</f>
        <v>1629.99</v>
      </c>
      <c r="D22" s="458">
        <f>'F7-1'!D12-'F5-8'!E11</f>
        <v>714.74276553800007</v>
      </c>
      <c r="E22" s="458">
        <v>1572.05</v>
      </c>
      <c r="F22" s="458">
        <f>'F5-8'!I10</f>
        <v>1311.4574173999999</v>
      </c>
      <c r="G22" s="458">
        <f>'F5-8'!J10</f>
        <v>1429.6705802047782</v>
      </c>
      <c r="H22" s="458">
        <f>'F5-8'!K10</f>
        <v>1608.81</v>
      </c>
      <c r="I22" s="458">
        <f>'F5-8'!L10</f>
        <v>1795.64</v>
      </c>
      <c r="K22" s="787"/>
      <c r="L22" s="467"/>
      <c r="M22" s="423"/>
      <c r="N22" s="453"/>
    </row>
    <row r="23" spans="1:30" s="461" customFormat="1" ht="31.5">
      <c r="A23" s="462" t="s">
        <v>65</v>
      </c>
      <c r="B23" s="463" t="s">
        <v>196</v>
      </c>
      <c r="C23" s="458"/>
      <c r="D23" s="541">
        <f>'F5-8'!E11</f>
        <v>8.58</v>
      </c>
      <c r="E23" s="464">
        <v>127.37</v>
      </c>
      <c r="F23" s="845">
        <f>'F5-8'!I11</f>
        <v>52.038480000000014</v>
      </c>
      <c r="G23" s="845">
        <f>'F5-8'!J11</f>
        <v>83.369181804778151</v>
      </c>
      <c r="H23" s="845">
        <f>'F5-8'!K11</f>
        <v>94.327271999999994</v>
      </c>
      <c r="I23" s="845">
        <f>'F5-8'!L11</f>
        <v>108.22974240000002</v>
      </c>
      <c r="K23" s="788"/>
      <c r="N23" s="791"/>
    </row>
    <row r="24" spans="1:30" s="461" customFormat="1" ht="31.5">
      <c r="A24" s="462" t="s">
        <v>66</v>
      </c>
      <c r="B24" s="463" t="s">
        <v>197</v>
      </c>
      <c r="C24" s="454"/>
      <c r="D24" s="464"/>
      <c r="E24" s="464"/>
      <c r="F24" s="464"/>
      <c r="G24" s="465"/>
      <c r="H24" s="465"/>
      <c r="I24" s="465"/>
      <c r="K24" s="595"/>
      <c r="N24" s="791"/>
    </row>
    <row r="25" spans="1:30" s="461" customFormat="1">
      <c r="A25" s="580" t="s">
        <v>764</v>
      </c>
      <c r="B25" s="463" t="s">
        <v>1270</v>
      </c>
      <c r="C25" s="454"/>
      <c r="D25" s="464"/>
      <c r="E25" s="464"/>
      <c r="F25" s="582"/>
      <c r="G25" s="465"/>
      <c r="H25" s="582"/>
      <c r="I25" s="465"/>
      <c r="N25" s="791"/>
    </row>
    <row r="26" spans="1:30">
      <c r="A26" s="368"/>
      <c r="B26" s="452" t="s">
        <v>765</v>
      </c>
      <c r="C26" s="458">
        <f>'F7-1'!C16</f>
        <v>0</v>
      </c>
      <c r="D26" s="458">
        <f>E16</f>
        <v>3.6572035379999996</v>
      </c>
      <c r="E26" s="458">
        <f>'F7-1'!E16</f>
        <v>0</v>
      </c>
      <c r="F26" s="458">
        <f>'F7-1'!H16</f>
        <v>0</v>
      </c>
      <c r="G26" s="458">
        <f>'F7-1'!I16</f>
        <v>0</v>
      </c>
      <c r="H26" s="458">
        <f>'F7-1'!J16</f>
        <v>0</v>
      </c>
      <c r="I26" s="458">
        <f>'F7-1'!K16</f>
        <v>0</v>
      </c>
      <c r="N26" s="790"/>
      <c r="P26" s="461"/>
    </row>
    <row r="27" spans="1:30" ht="47.25">
      <c r="A27" s="368">
        <v>2</v>
      </c>
      <c r="B27" s="452" t="s">
        <v>606</v>
      </c>
      <c r="C27" s="456">
        <f>SUM(C21+C22+C23+C24-C26)</f>
        <v>10635.52</v>
      </c>
      <c r="D27" s="456">
        <f t="shared" ref="D27:E27" si="1">SUM(D21+D22+D23+D24-D26)</f>
        <v>10206.055562</v>
      </c>
      <c r="E27" s="456">
        <f t="shared" si="1"/>
        <v>12620.6</v>
      </c>
      <c r="F27" s="456">
        <f>SUM(F21+F22+F23+F24-F26+F25)</f>
        <v>11569.551459399998</v>
      </c>
      <c r="G27" s="456">
        <f>SUM(G21+G22+G23+G24-G26)</f>
        <v>13082.591221409555</v>
      </c>
      <c r="H27" s="456">
        <f>SUM(H21+H22+H23+H24-H26+H25)</f>
        <v>14785.728493409555</v>
      </c>
      <c r="I27" s="456">
        <f>SUM(I21+I22+I23+I24-I26+I25)</f>
        <v>16689.598235809553</v>
      </c>
      <c r="Y27" s="956" t="s">
        <v>48</v>
      </c>
      <c r="Z27" s="957" t="s">
        <v>2005</v>
      </c>
      <c r="AA27" s="957" t="s">
        <v>2006</v>
      </c>
      <c r="AB27" s="957" t="s">
        <v>2007</v>
      </c>
      <c r="AC27" s="957" t="s">
        <v>705</v>
      </c>
      <c r="AD27" s="957" t="s">
        <v>2008</v>
      </c>
    </row>
    <row r="28" spans="1:30">
      <c r="A28" s="1103"/>
      <c r="C28" s="1123"/>
      <c r="D28" s="1123">
        <f>D22+D23-D26</f>
        <v>719.66556200000014</v>
      </c>
      <c r="E28" s="1123"/>
      <c r="F28" s="1123">
        <f>F35-F36</f>
        <v>1311.4574173999999</v>
      </c>
      <c r="G28" s="1123"/>
      <c r="H28" s="1123"/>
      <c r="I28" s="1123"/>
      <c r="M28" s="956"/>
      <c r="N28" s="957"/>
      <c r="O28" s="957"/>
      <c r="P28" s="957"/>
      <c r="Q28" s="957"/>
      <c r="R28" s="957"/>
      <c r="Y28" s="956"/>
      <c r="Z28" s="957"/>
      <c r="AA28" s="957"/>
      <c r="AB28" s="957"/>
      <c r="AC28" s="957"/>
      <c r="AD28" s="957"/>
    </row>
    <row r="29" spans="1:30" ht="47.25">
      <c r="B29" s="455" t="s">
        <v>1854</v>
      </c>
      <c r="C29" s="1123"/>
      <c r="D29" s="1123">
        <f>D22-D26</f>
        <v>711.0855620000001</v>
      </c>
      <c r="E29" s="1123">
        <f>D35-D36</f>
        <v>681.4360926380001</v>
      </c>
      <c r="F29" s="1123"/>
      <c r="G29" s="1123"/>
      <c r="H29" s="1123"/>
      <c r="I29" s="1123"/>
      <c r="M29" s="956" t="s">
        <v>48</v>
      </c>
      <c r="N29" s="957" t="s">
        <v>2005</v>
      </c>
      <c r="O29" s="957" t="s">
        <v>2006</v>
      </c>
      <c r="P29" s="957" t="s">
        <v>2007</v>
      </c>
      <c r="Q29" s="957" t="s">
        <v>705</v>
      </c>
      <c r="R29" s="957" t="s">
        <v>2008</v>
      </c>
      <c r="Y29" s="956"/>
      <c r="Z29" s="957"/>
      <c r="AA29" s="957"/>
      <c r="AB29" s="957"/>
      <c r="AC29" s="957"/>
      <c r="AD29" s="957"/>
    </row>
    <row r="30" spans="1:30">
      <c r="A30" s="2014" t="s">
        <v>623</v>
      </c>
      <c r="B30" s="2013" t="s">
        <v>48</v>
      </c>
      <c r="C30" s="1829" t="s">
        <v>1846</v>
      </c>
      <c r="D30" s="1831"/>
      <c r="E30" s="1824" t="s">
        <v>1847</v>
      </c>
      <c r="F30" s="1825"/>
      <c r="G30" s="1820" t="s">
        <v>1159</v>
      </c>
      <c r="H30" s="1820"/>
      <c r="I30" s="1820"/>
      <c r="M30" s="956" t="s">
        <v>1997</v>
      </c>
      <c r="N30" s="959">
        <v>0</v>
      </c>
      <c r="O30" s="960">
        <v>1415.01</v>
      </c>
      <c r="P30" s="961">
        <f>O30*N30</f>
        <v>0</v>
      </c>
      <c r="Q30" s="961">
        <v>54.76</v>
      </c>
      <c r="R30" s="958">
        <f>(Q30/2)*N30</f>
        <v>0</v>
      </c>
      <c r="Y30" s="956" t="s">
        <v>1997</v>
      </c>
      <c r="Z30" s="959">
        <v>0</v>
      </c>
      <c r="AA30" s="960">
        <f>[128]PPE2021!$B$13/10^7</f>
        <v>1469.7647407290001</v>
      </c>
      <c r="AB30" s="960">
        <f>AA30*Z30</f>
        <v>0</v>
      </c>
      <c r="AC30" s="960">
        <f t="shared" ref="AC30:AC39" si="2">D6</f>
        <v>33.306672900000002</v>
      </c>
      <c r="AD30" s="958">
        <f>AC30*Z30</f>
        <v>0</v>
      </c>
    </row>
    <row r="31" spans="1:30" ht="50.25" customHeight="1">
      <c r="A31" s="1844"/>
      <c r="B31" s="2013"/>
      <c r="C31" s="1101" t="s">
        <v>1172</v>
      </c>
      <c r="D31" s="282" t="s">
        <v>230</v>
      </c>
      <c r="E31" s="1101" t="s">
        <v>1160</v>
      </c>
      <c r="F31" s="1105" t="s">
        <v>1165</v>
      </c>
      <c r="G31" s="1101" t="s">
        <v>1841</v>
      </c>
      <c r="H31" s="1101" t="s">
        <v>1842</v>
      </c>
      <c r="I31" s="1101" t="s">
        <v>1843</v>
      </c>
      <c r="M31" s="956" t="s">
        <v>756</v>
      </c>
      <c r="N31" s="959">
        <v>3.3399999999999999E-2</v>
      </c>
      <c r="O31" s="961">
        <v>59.1</v>
      </c>
      <c r="P31" s="961">
        <f t="shared" ref="P31:P39" si="3">O31*N31</f>
        <v>1.97394</v>
      </c>
      <c r="Q31" s="961">
        <v>0.49</v>
      </c>
      <c r="R31" s="958">
        <f t="shared" ref="R31:R39" si="4">Q31*N31</f>
        <v>1.6365999999999999E-2</v>
      </c>
      <c r="Y31" s="956" t="s">
        <v>756</v>
      </c>
      <c r="Z31" s="959">
        <v>3.3399999999999999E-2</v>
      </c>
      <c r="AA31" s="960">
        <f>[128]PPE2021!$C$13/10^7</f>
        <v>35.6333597</v>
      </c>
      <c r="AB31" s="960">
        <f t="shared" ref="AB31:AB39" si="5">AA31*Z31</f>
        <v>1.1901542139799999</v>
      </c>
      <c r="AC31" s="960">
        <f t="shared" si="2"/>
        <v>10.3914066</v>
      </c>
      <c r="AD31" s="958">
        <f>AC31*Z31</f>
        <v>0.34707298044000001</v>
      </c>
    </row>
    <row r="32" spans="1:30">
      <c r="A32" s="412">
        <v>1</v>
      </c>
      <c r="B32" s="457" t="s">
        <v>766</v>
      </c>
      <c r="C32" s="458">
        <f>C21</f>
        <v>9005.5300000000007</v>
      </c>
      <c r="D32" s="1643">
        <f>D21</f>
        <v>9486.39</v>
      </c>
      <c r="E32" s="458">
        <f t="shared" ref="E32" si="6">E21</f>
        <v>10921.18</v>
      </c>
      <c r="F32" s="1643">
        <f>F21</f>
        <v>10206.055562</v>
      </c>
      <c r="G32" s="1643">
        <f t="shared" ref="G32:I32" si="7">G21</f>
        <v>11569.5514594</v>
      </c>
      <c r="H32" s="1643">
        <f t="shared" si="7"/>
        <v>13082.591221409555</v>
      </c>
      <c r="I32" s="1643">
        <f t="shared" si="7"/>
        <v>14785.728493409555</v>
      </c>
      <c r="L32" s="453"/>
      <c r="M32" s="956" t="s">
        <v>1998</v>
      </c>
      <c r="N32" s="959">
        <v>5.28E-2</v>
      </c>
      <c r="O32" s="961">
        <v>0.03</v>
      </c>
      <c r="P32" s="961">
        <f t="shared" si="3"/>
        <v>1.5839999999999999E-3</v>
      </c>
      <c r="Q32" s="961">
        <v>0</v>
      </c>
      <c r="R32" s="958">
        <f t="shared" si="4"/>
        <v>0</v>
      </c>
      <c r="Y32" s="956" t="s">
        <v>1998</v>
      </c>
      <c r="Z32" s="959">
        <v>5.28E-2</v>
      </c>
      <c r="AA32" s="960">
        <f>[128]PPE2021!$D$13/10^7</f>
        <v>4.4089999999999997E-3</v>
      </c>
      <c r="AB32" s="960">
        <f t="shared" si="5"/>
        <v>2.3279519999999998E-4</v>
      </c>
      <c r="AC32" s="960">
        <f t="shared" si="2"/>
        <v>3.0671638000000001E-2</v>
      </c>
      <c r="AD32" s="958">
        <f t="shared" ref="AD32" si="8">AC32*Z32</f>
        <v>1.6194624864E-3</v>
      </c>
    </row>
    <row r="33" spans="1:30">
      <c r="A33" s="412"/>
      <c r="B33" s="457" t="s">
        <v>774</v>
      </c>
      <c r="C33" s="458">
        <f>C32-7579.23</f>
        <v>1426.3000000000011</v>
      </c>
      <c r="D33" s="1643">
        <f>[128]PPE2021!$B$13/10^7</f>
        <v>1469.7647407290001</v>
      </c>
      <c r="E33" s="1643">
        <f>E32-9506.17</f>
        <v>1415.0100000000002</v>
      </c>
      <c r="F33" s="1643">
        <f>[128]PPE2021!$B$31/10^7</f>
        <v>1503.0714136290001</v>
      </c>
      <c r="G33" s="1644">
        <f>G32-F40</f>
        <v>1503.0714136290026</v>
      </c>
      <c r="H33" s="1644">
        <f t="shared" ref="H33:I33" si="9">H32-G40</f>
        <v>1503.0714136290026</v>
      </c>
      <c r="I33" s="1644">
        <f t="shared" si="9"/>
        <v>1503.0714136290026</v>
      </c>
      <c r="J33" s="1082"/>
      <c r="K33" s="453"/>
      <c r="L33" s="453"/>
      <c r="M33" s="956" t="s">
        <v>1999</v>
      </c>
      <c r="N33" s="959">
        <v>3.3399999999999999E-2</v>
      </c>
      <c r="O33" s="961">
        <v>235.15</v>
      </c>
      <c r="P33" s="961">
        <f t="shared" si="3"/>
        <v>7.8540099999999997</v>
      </c>
      <c r="Q33" s="961">
        <v>27.69</v>
      </c>
      <c r="R33" s="958">
        <f t="shared" si="4"/>
        <v>0.92484600000000006</v>
      </c>
      <c r="Y33" s="956" t="s">
        <v>1999</v>
      </c>
      <c r="Z33" s="959">
        <v>3.3399999999999999E-2</v>
      </c>
      <c r="AA33" s="960">
        <f>[128]PPE2021!$E$13/10^7</f>
        <v>236.94626733800001</v>
      </c>
      <c r="AB33" s="960">
        <f t="shared" si="5"/>
        <v>7.9140053290891998</v>
      </c>
      <c r="AC33" s="960">
        <f t="shared" si="2"/>
        <v>47.609794999999998</v>
      </c>
      <c r="AD33" s="962">
        <f>AC33*Z33</f>
        <v>1.5901671529999999</v>
      </c>
    </row>
    <row r="34" spans="1:30">
      <c r="A34" s="412"/>
      <c r="B34" s="457" t="s">
        <v>1177</v>
      </c>
      <c r="C34" s="458">
        <f>C32-C33</f>
        <v>7579.23</v>
      </c>
      <c r="D34" s="458">
        <f>D32-D33</f>
        <v>8016.6252592709989</v>
      </c>
      <c r="E34" s="458">
        <f t="shared" ref="E34" si="10">E32-E33</f>
        <v>9506.17</v>
      </c>
      <c r="F34" s="458">
        <f>F32-F33</f>
        <v>8702.9841483709988</v>
      </c>
      <c r="G34" s="458">
        <f t="shared" ref="G34:I34" si="11">G32-G33</f>
        <v>10066.480045770997</v>
      </c>
      <c r="H34" s="458">
        <f t="shared" si="11"/>
        <v>11579.519807780553</v>
      </c>
      <c r="I34" s="458">
        <f t="shared" si="11"/>
        <v>13282.657079780553</v>
      </c>
      <c r="K34" s="453"/>
      <c r="L34" s="453"/>
      <c r="M34" s="956" t="s">
        <v>759</v>
      </c>
      <c r="N34" s="959">
        <v>5.28E-2</v>
      </c>
      <c r="O34" s="960">
        <v>2859.83</v>
      </c>
      <c r="P34" s="961">
        <f t="shared" si="3"/>
        <v>150.99902399999999</v>
      </c>
      <c r="Q34" s="960">
        <v>1181.1099999999999</v>
      </c>
      <c r="R34" s="958">
        <f>Q34*N34</f>
        <v>62.362607999999994</v>
      </c>
      <c r="Y34" s="956" t="s">
        <v>759</v>
      </c>
      <c r="Z34" s="959">
        <v>5.28E-2</v>
      </c>
      <c r="AA34" s="960">
        <f>[128]PPE2021!$F$13/10^7</f>
        <v>3603.5094345880007</v>
      </c>
      <c r="AB34" s="960">
        <f t="shared" si="5"/>
        <v>190.26529814624644</v>
      </c>
      <c r="AC34" s="960">
        <f t="shared" si="2"/>
        <v>442.67921480000001</v>
      </c>
      <c r="AD34" s="958">
        <f>AC34*Z34</f>
        <v>23.373462541440002</v>
      </c>
    </row>
    <row r="35" spans="1:30">
      <c r="A35" s="412">
        <v>2</v>
      </c>
      <c r="B35" s="457" t="s">
        <v>767</v>
      </c>
      <c r="C35" s="458">
        <f>C22</f>
        <v>1629.99</v>
      </c>
      <c r="D35" s="1643">
        <f>D22</f>
        <v>714.74276553800007</v>
      </c>
      <c r="E35" s="1643">
        <f>E22</f>
        <v>1572.05</v>
      </c>
      <c r="F35" s="1643">
        <f>F22</f>
        <v>1311.4574173999999</v>
      </c>
      <c r="G35" s="1643">
        <f t="shared" ref="G35:I35" si="12">G22</f>
        <v>1429.6705802047782</v>
      </c>
      <c r="H35" s="1643">
        <f t="shared" si="12"/>
        <v>1608.81</v>
      </c>
      <c r="I35" s="1643">
        <f t="shared" si="12"/>
        <v>1795.64</v>
      </c>
      <c r="K35" s="453"/>
      <c r="L35" s="453"/>
      <c r="M35" s="956" t="s">
        <v>2000</v>
      </c>
      <c r="N35" s="959">
        <v>5.28E-2</v>
      </c>
      <c r="O35" s="960">
        <v>3005.89</v>
      </c>
      <c r="P35" s="961">
        <f t="shared" si="3"/>
        <v>158.710992</v>
      </c>
      <c r="Q35" s="961">
        <v>668.53</v>
      </c>
      <c r="R35" s="958">
        <f t="shared" si="4"/>
        <v>35.298383999999999</v>
      </c>
      <c r="Y35" s="956" t="s">
        <v>2000</v>
      </c>
      <c r="Z35" s="959">
        <v>5.28E-2</v>
      </c>
      <c r="AA35" s="960">
        <f>[128]PPE2021!$G$13/10^7</f>
        <v>3189.8568550709997</v>
      </c>
      <c r="AB35" s="960">
        <f t="shared" si="5"/>
        <v>168.42444194774879</v>
      </c>
      <c r="AC35" s="960">
        <f t="shared" si="2"/>
        <v>179.14513529999999</v>
      </c>
      <c r="AD35" s="958">
        <f>AC35*Z35</f>
        <v>9.4588631438400004</v>
      </c>
    </row>
    <row r="36" spans="1:30">
      <c r="A36" s="412"/>
      <c r="B36" s="457" t="s">
        <v>774</v>
      </c>
      <c r="C36" s="458"/>
      <c r="D36" s="1643">
        <f>[128]PPE2021!$B$14/10^7</f>
        <v>33.306672900000002</v>
      </c>
      <c r="E36" s="1643"/>
      <c r="F36" s="1643">
        <v>0</v>
      </c>
      <c r="G36" s="1643">
        <v>0</v>
      </c>
      <c r="H36" s="1643">
        <v>0</v>
      </c>
      <c r="I36" s="1643">
        <v>0</v>
      </c>
      <c r="L36" s="453"/>
      <c r="M36" s="956" t="s">
        <v>654</v>
      </c>
      <c r="N36" s="959">
        <v>6.3299999999999995E-2</v>
      </c>
      <c r="O36" s="961">
        <v>0.45</v>
      </c>
      <c r="P36" s="961">
        <f t="shared" si="3"/>
        <v>2.8485E-2</v>
      </c>
      <c r="Q36" s="961">
        <v>0</v>
      </c>
      <c r="R36" s="958">
        <f t="shared" si="4"/>
        <v>0</v>
      </c>
      <c r="Y36" s="956" t="s">
        <v>654</v>
      </c>
      <c r="Z36" s="959">
        <v>6.3299999999999995E-2</v>
      </c>
      <c r="AA36" s="960">
        <f>[128]PPE2021!$H$13/10^7</f>
        <v>0</v>
      </c>
      <c r="AB36" s="960">
        <f t="shared" si="5"/>
        <v>0</v>
      </c>
      <c r="AC36" s="960">
        <f t="shared" si="2"/>
        <v>0</v>
      </c>
      <c r="AD36" s="958">
        <f t="shared" ref="AD36" si="13">AC36*Z36</f>
        <v>0</v>
      </c>
    </row>
    <row r="37" spans="1:30">
      <c r="A37" s="412" t="s">
        <v>772</v>
      </c>
      <c r="B37" s="457" t="s">
        <v>770</v>
      </c>
      <c r="C37" s="458"/>
      <c r="D37" s="250">
        <f>D23</f>
        <v>8.58</v>
      </c>
      <c r="E37" s="301">
        <v>127.37</v>
      </c>
      <c r="F37" s="250">
        <f>F23</f>
        <v>52.038480000000014</v>
      </c>
      <c r="G37" s="250">
        <f t="shared" ref="G37:I37" si="14">G23</f>
        <v>83.369181804778151</v>
      </c>
      <c r="H37" s="250">
        <f t="shared" si="14"/>
        <v>94.327271999999994</v>
      </c>
      <c r="I37" s="250">
        <f t="shared" si="14"/>
        <v>108.22974240000002</v>
      </c>
      <c r="K37" s="453"/>
      <c r="M37" s="956" t="s">
        <v>761</v>
      </c>
      <c r="N37" s="959">
        <v>6.3299999999999995E-2</v>
      </c>
      <c r="O37" s="961">
        <v>8.24</v>
      </c>
      <c r="P37" s="961">
        <f t="shared" si="3"/>
        <v>0.52159199999999994</v>
      </c>
      <c r="Q37" s="961">
        <v>0.94</v>
      </c>
      <c r="R37" s="958">
        <f t="shared" si="4"/>
        <v>5.9501999999999992E-2</v>
      </c>
      <c r="Y37" s="956" t="s">
        <v>761</v>
      </c>
      <c r="Z37" s="959">
        <v>6.3299999999999995E-2</v>
      </c>
      <c r="AA37" s="960">
        <f>[128]PPE2021!$I$13/10^7</f>
        <v>8.2453198000000008</v>
      </c>
      <c r="AB37" s="960">
        <f t="shared" si="5"/>
        <v>0.52192874334000006</v>
      </c>
      <c r="AC37" s="960">
        <f t="shared" si="2"/>
        <v>1.4041077</v>
      </c>
      <c r="AD37" s="958">
        <f>AC37*Z37</f>
        <v>8.8880017409999984E-2</v>
      </c>
    </row>
    <row r="38" spans="1:30">
      <c r="A38" s="412" t="s">
        <v>773</v>
      </c>
      <c r="B38" s="457" t="s">
        <v>771</v>
      </c>
      <c r="C38" s="454"/>
      <c r="D38" s="301"/>
      <c r="E38" s="301"/>
      <c r="F38" s="301"/>
      <c r="G38" s="452"/>
      <c r="H38" s="452"/>
      <c r="I38" s="452"/>
      <c r="K38" s="453"/>
      <c r="M38" s="956" t="s">
        <v>2001</v>
      </c>
      <c r="N38" s="959">
        <v>6.3299999999999995E-2</v>
      </c>
      <c r="O38" s="961">
        <v>1.29</v>
      </c>
      <c r="P38" s="961">
        <f t="shared" si="3"/>
        <v>8.1656999999999993E-2</v>
      </c>
      <c r="Q38" s="961">
        <v>0.64</v>
      </c>
      <c r="R38" s="958">
        <f t="shared" si="4"/>
        <v>4.0511999999999999E-2</v>
      </c>
      <c r="Y38" s="956" t="s">
        <v>2001</v>
      </c>
      <c r="Z38" s="959">
        <v>6.3299999999999995E-2</v>
      </c>
      <c r="AA38" s="960">
        <f>[128]PPE2021!$J$13/10^7</f>
        <v>2.186507116</v>
      </c>
      <c r="AB38" s="960">
        <f t="shared" si="5"/>
        <v>0.13840590044279999</v>
      </c>
      <c r="AC38" s="960">
        <f t="shared" si="2"/>
        <v>0.5254238</v>
      </c>
      <c r="AD38" s="958">
        <f>AC38*Z38</f>
        <v>3.3259326539999995E-2</v>
      </c>
    </row>
    <row r="39" spans="1:30">
      <c r="A39" s="412">
        <v>4</v>
      </c>
      <c r="B39" s="457" t="s">
        <v>763</v>
      </c>
      <c r="C39" s="454"/>
      <c r="D39" s="1643">
        <f>D26</f>
        <v>3.6572035379999996</v>
      </c>
      <c r="E39" s="301"/>
      <c r="F39" s="301"/>
      <c r="G39" s="452"/>
      <c r="H39" s="452"/>
      <c r="I39" s="452"/>
      <c r="M39" s="956" t="s">
        <v>2002</v>
      </c>
      <c r="N39" s="959">
        <v>0.15</v>
      </c>
      <c r="O39" s="961">
        <v>2.5099999999999998</v>
      </c>
      <c r="P39" s="961">
        <f t="shared" si="3"/>
        <v>0.37649999999999995</v>
      </c>
      <c r="Q39" s="961">
        <v>0.73</v>
      </c>
      <c r="R39" s="958">
        <f t="shared" si="4"/>
        <v>0.1095</v>
      </c>
      <c r="Y39" s="956" t="s">
        <v>2002</v>
      </c>
      <c r="Z39" s="959">
        <v>0.15</v>
      </c>
      <c r="AA39" s="960">
        <f>[128]PPE2021!$K$13/10^7</f>
        <v>2.7689371999999999</v>
      </c>
      <c r="AB39" s="960">
        <f t="shared" si="5"/>
        <v>0.41534057999999996</v>
      </c>
      <c r="AC39" s="960">
        <f t="shared" si="2"/>
        <v>8.2303377999999991</v>
      </c>
      <c r="AD39" s="958">
        <f>AC39*Z39</f>
        <v>1.2345506699999997</v>
      </c>
    </row>
    <row r="40" spans="1:30">
      <c r="A40" s="412">
        <v>5</v>
      </c>
      <c r="B40" s="457" t="s">
        <v>768</v>
      </c>
      <c r="C40" s="456">
        <f>C32-C33+C35-C36+C37+C38-C39</f>
        <v>9209.2199999999993</v>
      </c>
      <c r="D40" s="456">
        <f>D32-D33+D35-D36+D37+D38-D39</f>
        <v>8702.9841483709988</v>
      </c>
      <c r="E40" s="456">
        <f>E32-E33+E35-E36+E37+E38-E39</f>
        <v>11205.59</v>
      </c>
      <c r="F40" s="456">
        <f>F32-F33+F35-F36+F37+F38-F39</f>
        <v>10066.480045770997</v>
      </c>
      <c r="G40" s="456">
        <f t="shared" ref="G40:I40" si="15">G32-G33+G35-G36+G37+G38-G39</f>
        <v>11579.519807780553</v>
      </c>
      <c r="H40" s="456">
        <f t="shared" si="15"/>
        <v>13282.657079780553</v>
      </c>
      <c r="I40" s="456">
        <f t="shared" si="15"/>
        <v>15186.526822180553</v>
      </c>
      <c r="K40" s="453"/>
      <c r="M40" s="956" t="s">
        <v>2003</v>
      </c>
      <c r="N40" s="961"/>
      <c r="O40" s="960">
        <f>SUM(O31:O39)</f>
        <v>6172.49</v>
      </c>
      <c r="P40" s="961">
        <f>SUM(P31:P39)</f>
        <v>320.54778399999998</v>
      </c>
      <c r="Q40" s="960">
        <f>SUM(Q31:Q39)</f>
        <v>1880.13</v>
      </c>
      <c r="R40" s="958">
        <f>SUM(R31:R39)</f>
        <v>98.811717999999999</v>
      </c>
      <c r="Y40" s="956" t="s">
        <v>2003</v>
      </c>
      <c r="Z40" s="961"/>
      <c r="AA40" s="960">
        <f>SUM(AA31:AA39)</f>
        <v>7079.1510898130009</v>
      </c>
      <c r="AB40" s="960">
        <f>SUM(AB31:AB39)</f>
        <v>368.86980765604727</v>
      </c>
      <c r="AC40" s="960">
        <f>SUM(AC31:AC39)</f>
        <v>690.01609263800015</v>
      </c>
      <c r="AD40" s="960">
        <f>SUM(AD31:AD39)</f>
        <v>36.127875295156393</v>
      </c>
    </row>
    <row r="41" spans="1:30">
      <c r="A41" s="412">
        <v>6</v>
      </c>
      <c r="B41" s="457" t="s">
        <v>775</v>
      </c>
      <c r="C41" s="456">
        <f>AVERAGE(C34,C40)</f>
        <v>8394.2249999999985</v>
      </c>
      <c r="D41" s="456">
        <f>AVERAGE(D34,D40)</f>
        <v>8359.8047038209988</v>
      </c>
      <c r="E41" s="456">
        <v>10355.879999999999</v>
      </c>
      <c r="F41" s="456">
        <f>AVERAGE(F34,F40)</f>
        <v>9384.7320970709989</v>
      </c>
      <c r="G41" s="456">
        <f t="shared" ref="G41:I41" si="16">AVERAGE(G34,G40)</f>
        <v>10822.999926775774</v>
      </c>
      <c r="H41" s="456">
        <f t="shared" si="16"/>
        <v>12431.088443780553</v>
      </c>
      <c r="I41" s="456">
        <f t="shared" si="16"/>
        <v>14234.591950980554</v>
      </c>
      <c r="M41" s="956" t="s">
        <v>2004</v>
      </c>
      <c r="N41" s="961"/>
      <c r="O41" s="961"/>
      <c r="P41" s="959">
        <f>P40/O40</f>
        <v>5.193168137979972E-2</v>
      </c>
      <c r="Q41" s="961"/>
      <c r="R41" s="959">
        <f>R40/Q40</f>
        <v>5.2555790291096888E-2</v>
      </c>
      <c r="Y41" s="956" t="s">
        <v>2004</v>
      </c>
      <c r="Z41" s="961"/>
      <c r="AA41" s="960"/>
      <c r="AB41" s="959">
        <f>AB40/AA40</f>
        <v>5.2106503022213521E-2</v>
      </c>
      <c r="AC41" s="961"/>
      <c r="AD41" s="959">
        <f>AD40/AC40</f>
        <v>5.2358018429738258E-2</v>
      </c>
    </row>
    <row r="42" spans="1:30">
      <c r="A42" s="412">
        <v>7</v>
      </c>
      <c r="B42" s="457" t="s">
        <v>1831</v>
      </c>
      <c r="C42" s="1645">
        <v>4.8399999999999999E-2</v>
      </c>
      <c r="D42" s="1646">
        <f>AB41</f>
        <v>5.2106503022213521E-2</v>
      </c>
      <c r="E42" s="1646">
        <v>5.1900000000000002E-2</v>
      </c>
      <c r="F42" s="1646">
        <f>D42</f>
        <v>5.2106503022213521E-2</v>
      </c>
      <c r="G42" s="1646">
        <f>D42</f>
        <v>5.2106503022213521E-2</v>
      </c>
      <c r="H42" s="1646">
        <f>G42</f>
        <v>5.2106503022213521E-2</v>
      </c>
      <c r="I42" s="1646">
        <f>H42</f>
        <v>5.2106503022213521E-2</v>
      </c>
      <c r="K42" s="453"/>
      <c r="R42" s="1124">
        <v>4.1500000000000002E-2</v>
      </c>
    </row>
    <row r="43" spans="1:30">
      <c r="A43" s="412"/>
      <c r="B43" s="457" t="s">
        <v>1816</v>
      </c>
      <c r="C43" s="1645">
        <v>3.4200000000000001E-2</v>
      </c>
      <c r="D43" s="1646">
        <f>AD41</f>
        <v>5.2358018429738258E-2</v>
      </c>
      <c r="E43" s="1646">
        <v>4.1500000000000002E-2</v>
      </c>
      <c r="F43" s="1646">
        <f>D43</f>
        <v>5.2358018429738258E-2</v>
      </c>
      <c r="G43" s="1646">
        <f>D43</f>
        <v>5.2358018429738258E-2</v>
      </c>
      <c r="H43" s="1646">
        <f>G43</f>
        <v>5.2358018429738258E-2</v>
      </c>
      <c r="I43" s="1646">
        <f>H43</f>
        <v>5.2358018429738258E-2</v>
      </c>
      <c r="K43" s="453"/>
    </row>
    <row r="44" spans="1:30">
      <c r="A44" s="412">
        <v>8</v>
      </c>
      <c r="B44" s="457" t="s">
        <v>1263</v>
      </c>
      <c r="C44" s="1647">
        <f t="shared" ref="C44:F44" si="17">C42*C34</f>
        <v>366.83473199999997</v>
      </c>
      <c r="D44" s="1647">
        <f t="shared" si="17"/>
        <v>417.71830830015756</v>
      </c>
      <c r="E44" s="1647">
        <f t="shared" si="17"/>
        <v>493.37022300000001</v>
      </c>
      <c r="F44" s="1647">
        <f t="shared" si="17"/>
        <v>453.48206982936983</v>
      </c>
      <c r="G44" s="1647">
        <f t="shared" ref="G44:I44" si="18">G42*G34</f>
        <v>524.52907292801854</v>
      </c>
      <c r="H44" s="1647">
        <f t="shared" si="18"/>
        <v>603.36828385989872</v>
      </c>
      <c r="I44" s="1647">
        <f t="shared" si="18"/>
        <v>692.11281127061113</v>
      </c>
      <c r="K44" s="453"/>
    </row>
    <row r="45" spans="1:30">
      <c r="A45" s="412">
        <v>9</v>
      </c>
      <c r="B45" s="457" t="s">
        <v>1264</v>
      </c>
      <c r="C45" s="1647">
        <f>C43*(C35+C37-C39)</f>
        <v>55.745657999999999</v>
      </c>
      <c r="D45" s="1647">
        <f>D43*(D35+D37-D39)</f>
        <v>37.680262758443945</v>
      </c>
      <c r="E45" s="1647">
        <f>E43*(E35+E37-E39)</f>
        <v>70.525930000000002</v>
      </c>
      <c r="F45" s="1647">
        <f t="shared" ref="F45:I45" si="19">F43*(F35+F37-F39)</f>
        <v>71.389943324941697</v>
      </c>
      <c r="G45" s="1647">
        <f t="shared" si="19"/>
        <v>79.219763744223144</v>
      </c>
      <c r="H45" s="1647">
        <f t="shared" si="19"/>
        <v>89.172892675750134</v>
      </c>
      <c r="I45" s="1647">
        <f t="shared" si="19"/>
        <v>99.682847060400235</v>
      </c>
      <c r="K45" s="453"/>
    </row>
    <row r="46" spans="1:30">
      <c r="A46" s="412">
        <v>10</v>
      </c>
      <c r="B46" s="457" t="s">
        <v>1554</v>
      </c>
      <c r="C46" s="458">
        <f>SUM(C44:C45)</f>
        <v>422.58038999999997</v>
      </c>
      <c r="D46" s="458">
        <f>SUM(D44:D45)</f>
        <v>455.39857105860153</v>
      </c>
      <c r="E46" s="458">
        <f>SUM(E44:E45)</f>
        <v>563.89615300000003</v>
      </c>
      <c r="F46" s="458">
        <f>SUM(F44:F45)</f>
        <v>524.8720131543115</v>
      </c>
      <c r="G46" s="458">
        <f t="shared" ref="G46:I46" si="20">SUM(G44:G45)</f>
        <v>603.74883667224162</v>
      </c>
      <c r="H46" s="458">
        <f t="shared" si="20"/>
        <v>692.5411765356489</v>
      </c>
      <c r="I46" s="458">
        <f t="shared" si="20"/>
        <v>791.7956583310114</v>
      </c>
      <c r="L46" s="1082"/>
      <c r="AB46" s="1053">
        <f>0.24/4.11</f>
        <v>5.8394160583941597E-2</v>
      </c>
    </row>
    <row r="47" spans="1:30">
      <c r="A47" s="412">
        <v>11</v>
      </c>
      <c r="B47" s="457" t="s">
        <v>1265</v>
      </c>
      <c r="C47" s="458">
        <v>422.58</v>
      </c>
      <c r="D47" s="250">
        <f>(D34*D42)+((D35+D37-D39)*D43)</f>
        <v>455.39857105860153</v>
      </c>
      <c r="E47" s="250">
        <f>(E34*E42)+((E35+E37)*E43)</f>
        <v>563.89615300000003</v>
      </c>
      <c r="F47" s="250">
        <f>(F34*F42)+((F35+F37)*F43)</f>
        <v>524.8720131543115</v>
      </c>
      <c r="G47" s="250">
        <f t="shared" ref="G47:I47" si="21">(G34*G42)+((G35+G37)*G43)</f>
        <v>603.74883667224162</v>
      </c>
      <c r="H47" s="250">
        <f t="shared" si="21"/>
        <v>692.5411765356489</v>
      </c>
      <c r="I47" s="250">
        <f t="shared" si="21"/>
        <v>791.7956583310114</v>
      </c>
    </row>
    <row r="48" spans="1:30">
      <c r="A48" s="412">
        <v>12</v>
      </c>
      <c r="B48" s="457" t="s">
        <v>776</v>
      </c>
      <c r="C48" s="458">
        <v>1856.4</v>
      </c>
      <c r="D48" s="250">
        <v>1915.45</v>
      </c>
      <c r="E48" s="250">
        <v>2063.09</v>
      </c>
      <c r="F48" s="1643">
        <f>D52</f>
        <v>1940.74</v>
      </c>
      <c r="G48" s="1648">
        <f>F52</f>
        <v>2136.0499999999997</v>
      </c>
      <c r="H48" s="1648">
        <f>G52</f>
        <v>2215.5899999999997</v>
      </c>
      <c r="I48" s="1648">
        <f>H52</f>
        <v>2215.5899999999997</v>
      </c>
    </row>
    <row r="49" spans="1:21">
      <c r="A49" s="412">
        <v>13</v>
      </c>
      <c r="B49" s="457" t="s">
        <v>777</v>
      </c>
      <c r="C49" s="458">
        <v>65.67</v>
      </c>
      <c r="D49" s="250">
        <v>0</v>
      </c>
      <c r="E49" s="250">
        <v>0</v>
      </c>
      <c r="F49" s="1643">
        <v>68.86999999999999</v>
      </c>
      <c r="G49" s="1643">
        <v>0</v>
      </c>
      <c r="H49" s="1643">
        <v>0</v>
      </c>
      <c r="I49" s="1643">
        <v>0</v>
      </c>
    </row>
    <row r="50" spans="1:21">
      <c r="A50" s="412">
        <v>14</v>
      </c>
      <c r="B50" s="457" t="s">
        <v>1830</v>
      </c>
      <c r="C50" s="458"/>
      <c r="D50" s="250">
        <v>25.29</v>
      </c>
      <c r="E50" s="250">
        <v>0</v>
      </c>
      <c r="F50" s="1643">
        <v>126.44000000000003</v>
      </c>
      <c r="G50" s="1643">
        <v>79.540000000000006</v>
      </c>
      <c r="H50" s="1643">
        <v>0</v>
      </c>
      <c r="I50" s="1643">
        <v>0</v>
      </c>
    </row>
    <row r="51" spans="1:21">
      <c r="A51" s="412">
        <v>15</v>
      </c>
      <c r="B51" s="457" t="s">
        <v>763</v>
      </c>
      <c r="C51" s="458">
        <v>0</v>
      </c>
      <c r="D51" s="301"/>
      <c r="E51" s="301"/>
      <c r="F51" s="301"/>
      <c r="G51" s="452"/>
      <c r="H51" s="452"/>
      <c r="I51" s="452"/>
    </row>
    <row r="52" spans="1:21">
      <c r="A52" s="412">
        <v>16</v>
      </c>
      <c r="B52" s="457" t="s">
        <v>778</v>
      </c>
      <c r="C52" s="456">
        <f>C48+C49-C51</f>
        <v>1922.0700000000002</v>
      </c>
      <c r="D52" s="456">
        <f>D48+D49+D50-D51</f>
        <v>1940.74</v>
      </c>
      <c r="E52" s="456">
        <v>2063.09</v>
      </c>
      <c r="F52" s="456">
        <f>F48+F49+F50-F51</f>
        <v>2136.0499999999997</v>
      </c>
      <c r="G52" s="456">
        <f t="shared" ref="G52:I52" si="22">G48+G49+G50-G51</f>
        <v>2215.5899999999997</v>
      </c>
      <c r="H52" s="456">
        <f t="shared" si="22"/>
        <v>2215.5899999999997</v>
      </c>
      <c r="I52" s="456">
        <f t="shared" si="22"/>
        <v>2215.5899999999997</v>
      </c>
    </row>
    <row r="53" spans="1:21">
      <c r="A53" s="412">
        <v>17</v>
      </c>
      <c r="B53" s="457" t="s">
        <v>779</v>
      </c>
      <c r="C53" s="456">
        <f t="shared" ref="C53:F53" si="23">AVERAGE(C48,C52)</f>
        <v>1889.2350000000001</v>
      </c>
      <c r="D53" s="456">
        <f t="shared" si="23"/>
        <v>1928.095</v>
      </c>
      <c r="E53" s="456">
        <f t="shared" si="23"/>
        <v>2063.09</v>
      </c>
      <c r="F53" s="456">
        <f t="shared" si="23"/>
        <v>2038.395</v>
      </c>
      <c r="G53" s="456">
        <f t="shared" ref="G53:I53" si="24">AVERAGE(G48,G52)</f>
        <v>2175.8199999999997</v>
      </c>
      <c r="H53" s="456">
        <f t="shared" si="24"/>
        <v>2215.5899999999997</v>
      </c>
      <c r="I53" s="456">
        <f t="shared" si="24"/>
        <v>2215.5899999999997</v>
      </c>
    </row>
    <row r="54" spans="1:21">
      <c r="A54" s="412">
        <v>18</v>
      </c>
      <c r="B54" s="457" t="s">
        <v>1832</v>
      </c>
      <c r="C54" s="456"/>
      <c r="D54" s="456">
        <f>D48*D42</f>
        <v>99.807401213898885</v>
      </c>
      <c r="E54" s="456">
        <f>E48*E42</f>
        <v>107.07437100000001</v>
      </c>
      <c r="F54" s="456">
        <f>F48*F42</f>
        <v>101.12517467533067</v>
      </c>
      <c r="G54" s="456">
        <f t="shared" ref="G54:I54" si="25">G48*G42</f>
        <v>111.30209578059917</v>
      </c>
      <c r="H54" s="456">
        <f t="shared" si="25"/>
        <v>115.44664703098604</v>
      </c>
      <c r="I54" s="456">
        <f t="shared" si="25"/>
        <v>115.44664703098604</v>
      </c>
    </row>
    <row r="55" spans="1:21">
      <c r="A55" s="412">
        <v>19</v>
      </c>
      <c r="B55" s="457" t="s">
        <v>1833</v>
      </c>
      <c r="C55" s="456"/>
      <c r="D55" s="456">
        <f>(SUM(D49:D50)-D51)*D43</f>
        <v>1.3241342860880805</v>
      </c>
      <c r="E55" s="456">
        <f>(E49*E43)*0</f>
        <v>0</v>
      </c>
      <c r="F55" s="456">
        <f t="shared" ref="F55:I55" si="26">(SUM(F49:F50)-F51)*F43</f>
        <v>10.226044579512179</v>
      </c>
      <c r="G55" s="456">
        <f t="shared" si="26"/>
        <v>4.1645567859013815</v>
      </c>
      <c r="H55" s="456">
        <f t="shared" si="26"/>
        <v>0</v>
      </c>
      <c r="I55" s="456">
        <f t="shared" si="26"/>
        <v>0</v>
      </c>
    </row>
    <row r="56" spans="1:21" hidden="1">
      <c r="A56" s="412"/>
      <c r="B56" s="457"/>
      <c r="C56" s="1645"/>
      <c r="D56" s="1645"/>
      <c r="E56" s="1645"/>
      <c r="F56" s="1645"/>
      <c r="G56" s="1645"/>
      <c r="H56" s="1645"/>
      <c r="I56" s="452"/>
    </row>
    <row r="57" spans="1:21">
      <c r="A57" s="412">
        <v>20</v>
      </c>
      <c r="B57" s="457" t="s">
        <v>769</v>
      </c>
      <c r="C57" s="458">
        <v>92.1</v>
      </c>
      <c r="D57" s="458">
        <f>D54+D55</f>
        <v>101.13153549998697</v>
      </c>
      <c r="E57" s="458">
        <f>E54+E55</f>
        <v>107.07437100000001</v>
      </c>
      <c r="F57" s="458">
        <f>F54+F55</f>
        <v>111.35121925484285</v>
      </c>
      <c r="G57" s="458">
        <f t="shared" ref="G57:I57" si="27">G54+G55</f>
        <v>115.46665256650056</v>
      </c>
      <c r="H57" s="458">
        <f t="shared" si="27"/>
        <v>115.44664703098604</v>
      </c>
      <c r="I57" s="458">
        <f t="shared" si="27"/>
        <v>115.44664703098604</v>
      </c>
      <c r="L57" s="453"/>
    </row>
    <row r="58" spans="1:21">
      <c r="A58" s="412">
        <v>21</v>
      </c>
      <c r="B58" s="457" t="s">
        <v>1834</v>
      </c>
      <c r="C58" s="456">
        <f>C47-C57</f>
        <v>330.48</v>
      </c>
      <c r="D58" s="456">
        <f>D47</f>
        <v>455.39857105860153</v>
      </c>
      <c r="E58" s="456">
        <f>E47</f>
        <v>563.89615300000003</v>
      </c>
      <c r="F58" s="456">
        <f>F47</f>
        <v>524.8720131543115</v>
      </c>
      <c r="G58" s="456">
        <f t="shared" ref="G58:I58" si="28">G47</f>
        <v>603.74883667224162</v>
      </c>
      <c r="H58" s="456">
        <f t="shared" si="28"/>
        <v>692.5411765356489</v>
      </c>
      <c r="I58" s="456">
        <f t="shared" si="28"/>
        <v>791.7956583310114</v>
      </c>
    </row>
    <row r="59" spans="1:21">
      <c r="A59" s="412">
        <v>22</v>
      </c>
      <c r="B59" s="457" t="s">
        <v>1266</v>
      </c>
      <c r="C59" s="456"/>
      <c r="D59" s="456">
        <f>D57</f>
        <v>101.13153549998697</v>
      </c>
      <c r="E59" s="456">
        <f>E57</f>
        <v>107.07437100000001</v>
      </c>
      <c r="F59" s="456">
        <f>F57</f>
        <v>111.35121925484285</v>
      </c>
      <c r="G59" s="456">
        <f t="shared" ref="G59:I59" si="29">G57</f>
        <v>115.46665256650056</v>
      </c>
      <c r="H59" s="456">
        <f t="shared" si="29"/>
        <v>115.44664703098604</v>
      </c>
      <c r="I59" s="456">
        <f t="shared" si="29"/>
        <v>115.44664703098604</v>
      </c>
    </row>
    <row r="60" spans="1:21">
      <c r="A60" s="412">
        <v>23</v>
      </c>
      <c r="B60" s="457" t="s">
        <v>1267</v>
      </c>
      <c r="C60" s="456"/>
      <c r="D60" s="456">
        <f>D58-D59</f>
        <v>354.26703555861457</v>
      </c>
      <c r="E60" s="456">
        <f>E58-E59</f>
        <v>456.82178199999998</v>
      </c>
      <c r="F60" s="456">
        <f>F58-F59</f>
        <v>413.52079389946869</v>
      </c>
      <c r="G60" s="456">
        <f t="shared" ref="G60:I60" si="30">G58-G59</f>
        <v>488.28218410574107</v>
      </c>
      <c r="H60" s="456">
        <f t="shared" si="30"/>
        <v>577.09452950466289</v>
      </c>
      <c r="I60" s="456">
        <f t="shared" si="30"/>
        <v>676.34901130002538</v>
      </c>
    </row>
    <row r="61" spans="1:21">
      <c r="A61" s="423" t="s">
        <v>1835</v>
      </c>
      <c r="D61" s="453"/>
    </row>
    <row r="64" spans="1:21">
      <c r="R64" s="2003" t="s">
        <v>401</v>
      </c>
      <c r="S64" s="2003"/>
      <c r="T64" s="2003"/>
      <c r="U64" s="2003"/>
    </row>
  </sheetData>
  <mergeCells count="17">
    <mergeCell ref="G30:I30"/>
    <mergeCell ref="R64:U64"/>
    <mergeCell ref="C19:D19"/>
    <mergeCell ref="B19:B20"/>
    <mergeCell ref="A19:A20"/>
    <mergeCell ref="E19:F19"/>
    <mergeCell ref="G19:I19"/>
    <mergeCell ref="A30:A31"/>
    <mergeCell ref="B30:B31"/>
    <mergeCell ref="C30:D30"/>
    <mergeCell ref="E30:F30"/>
    <mergeCell ref="B2:F2"/>
    <mergeCell ref="U1:V1"/>
    <mergeCell ref="J3:K3"/>
    <mergeCell ref="L3:M3"/>
    <mergeCell ref="R3:S3"/>
    <mergeCell ref="T3:U3"/>
  </mergeCells>
  <pageMargins left="0.43307086614173229" right="0.35433070866141736" top="0.74803149606299213" bottom="0.74803149606299213" header="0.31496062992125984" footer="0.31496062992125984"/>
  <pageSetup paperSize="9" scale="65" fitToHeight="2" orientation="landscape" r:id="rId1"/>
  <rowBreaks count="1" manualBreakCount="1">
    <brk id="28" max="9" man="1"/>
  </rowBreaks>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92D050"/>
    <pageSetUpPr fitToPage="1"/>
  </sheetPr>
  <dimension ref="A1:V23"/>
  <sheetViews>
    <sheetView showGridLines="0" view="pageBreakPreview" topLeftCell="A2" zoomScale="90" zoomScaleNormal="100" zoomScaleSheetLayoutView="90" workbookViewId="0">
      <pane xSplit="2" ySplit="1" topLeftCell="C3" activePane="bottomRight" state="frozen"/>
      <selection activeCell="A2" sqref="A2"/>
      <selection pane="topRight" activeCell="C2" sqref="C2"/>
      <selection pane="bottomLeft" activeCell="A3" sqref="A3"/>
      <selection pane="bottomRight" activeCell="X14" sqref="X14"/>
    </sheetView>
  </sheetViews>
  <sheetFormatPr defaultColWidth="9.140625" defaultRowHeight="15"/>
  <cols>
    <col min="1" max="1" width="6.42578125" style="53" customWidth="1"/>
    <col min="2" max="2" width="25.85546875" style="53" bestFit="1" customWidth="1"/>
    <col min="3" max="3" width="8.5703125" style="53" customWidth="1"/>
    <col min="4" max="4" width="8.42578125" style="53" customWidth="1"/>
    <col min="5" max="5" width="6" style="53" customWidth="1"/>
    <col min="6" max="6" width="7.28515625" style="53" customWidth="1"/>
    <col min="7" max="7" width="10.140625" style="53" customWidth="1"/>
    <col min="8" max="8" width="9.28515625" style="53" bestFit="1" customWidth="1"/>
    <col min="9" max="9" width="7.28515625" style="53" customWidth="1"/>
    <col min="10" max="10" width="6.42578125" style="53" customWidth="1"/>
    <col min="11" max="11" width="7.42578125" style="53" customWidth="1"/>
    <col min="12" max="12" width="9" style="53" customWidth="1"/>
    <col min="13" max="13" width="9.28515625" style="53" bestFit="1" customWidth="1"/>
    <col min="14" max="14" width="7.42578125" style="53" customWidth="1"/>
    <col min="15" max="15" width="5.5703125" style="53" bestFit="1" customWidth="1"/>
    <col min="16" max="17" width="6.140625" style="53" bestFit="1" customWidth="1"/>
    <col min="18" max="18" width="9.28515625" style="53" bestFit="1" customWidth="1"/>
    <col min="19" max="19" width="7.140625" style="53" customWidth="1"/>
    <col min="20" max="20" width="6.7109375" style="53" bestFit="1" customWidth="1"/>
    <col min="21" max="21" width="6.7109375" style="53" customWidth="1"/>
    <col min="22" max="22" width="10.7109375" style="53" bestFit="1" customWidth="1"/>
    <col min="23" max="16384" width="9.140625" style="53"/>
  </cols>
  <sheetData>
    <row r="1" spans="1:22" ht="21" customHeight="1">
      <c r="A1" s="2016" t="s">
        <v>1158</v>
      </c>
      <c r="B1" s="2016"/>
      <c r="C1" s="2016"/>
      <c r="D1" s="2016"/>
      <c r="E1" s="2016"/>
    </row>
    <row r="2" spans="1:22" s="1303" customFormat="1" ht="21" customHeight="1">
      <c r="A2" s="2019" t="s">
        <v>2280</v>
      </c>
      <c r="B2" s="2019"/>
      <c r="C2" s="2019"/>
      <c r="D2" s="2019"/>
      <c r="E2" s="2019"/>
      <c r="F2" s="2019"/>
      <c r="G2" s="2019"/>
      <c r="H2" s="2019"/>
      <c r="I2" s="2019"/>
      <c r="J2" s="2019"/>
      <c r="K2" s="2019"/>
      <c r="L2" s="2019"/>
      <c r="M2" s="1308"/>
      <c r="V2" s="319" t="s">
        <v>860</v>
      </c>
    </row>
    <row r="3" spans="1:22" ht="21" customHeight="1">
      <c r="D3" s="2017"/>
      <c r="E3" s="2017"/>
    </row>
    <row r="4" spans="1:22" s="58" customFormat="1" ht="21" customHeight="1">
      <c r="A4" s="2018" t="s">
        <v>623</v>
      </c>
      <c r="B4" s="2018" t="s">
        <v>748</v>
      </c>
      <c r="C4" s="2015" t="s">
        <v>780</v>
      </c>
      <c r="D4" s="2015"/>
      <c r="E4" s="2015"/>
      <c r="F4" s="2015"/>
      <c r="G4" s="2015"/>
      <c r="H4" s="2015" t="s">
        <v>72</v>
      </c>
      <c r="I4" s="2015"/>
      <c r="J4" s="2015"/>
      <c r="K4" s="2015"/>
      <c r="L4" s="2015"/>
      <c r="M4" s="2015" t="s">
        <v>780</v>
      </c>
      <c r="N4" s="2015"/>
      <c r="O4" s="2015"/>
      <c r="P4" s="2015"/>
      <c r="Q4" s="2015"/>
      <c r="R4" s="2015" t="s">
        <v>780</v>
      </c>
      <c r="S4" s="2015"/>
      <c r="T4" s="2015"/>
      <c r="U4" s="2015"/>
      <c r="V4" s="2015"/>
    </row>
    <row r="5" spans="1:22" s="58" customFormat="1" ht="22.5" customHeight="1">
      <c r="A5" s="2018"/>
      <c r="B5" s="2018"/>
      <c r="C5" s="2015" t="s">
        <v>781</v>
      </c>
      <c r="D5" s="2015"/>
      <c r="E5" s="2015"/>
      <c r="F5" s="2015"/>
      <c r="G5" s="2015"/>
      <c r="H5" s="2015" t="s">
        <v>1862</v>
      </c>
      <c r="I5" s="2015"/>
      <c r="J5" s="2015"/>
      <c r="K5" s="2015"/>
      <c r="L5" s="2015"/>
      <c r="M5" s="2015" t="s">
        <v>782</v>
      </c>
      <c r="N5" s="2015"/>
      <c r="O5" s="2015"/>
      <c r="P5" s="2015"/>
      <c r="Q5" s="2015"/>
      <c r="R5" s="2015" t="s">
        <v>783</v>
      </c>
      <c r="S5" s="2015"/>
      <c r="T5" s="2015"/>
      <c r="U5" s="2015"/>
      <c r="V5" s="2015"/>
    </row>
    <row r="6" spans="1:22" s="58" customFormat="1" ht="51">
      <c r="A6" s="2018"/>
      <c r="B6" s="2018"/>
      <c r="C6" s="857" t="s">
        <v>753</v>
      </c>
      <c r="D6" s="857" t="s">
        <v>754</v>
      </c>
      <c r="E6" s="857" t="s">
        <v>624</v>
      </c>
      <c r="F6" s="857" t="s">
        <v>219</v>
      </c>
      <c r="G6" s="857" t="s">
        <v>68</v>
      </c>
      <c r="H6" s="857" t="s">
        <v>753</v>
      </c>
      <c r="I6" s="857" t="s">
        <v>754</v>
      </c>
      <c r="J6" s="857" t="s">
        <v>624</v>
      </c>
      <c r="K6" s="857" t="s">
        <v>219</v>
      </c>
      <c r="L6" s="857" t="s">
        <v>68</v>
      </c>
      <c r="M6" s="857" t="s">
        <v>753</v>
      </c>
      <c r="N6" s="857" t="s">
        <v>754</v>
      </c>
      <c r="O6" s="857" t="s">
        <v>624</v>
      </c>
      <c r="P6" s="857" t="s">
        <v>219</v>
      </c>
      <c r="Q6" s="857" t="s">
        <v>68</v>
      </c>
      <c r="R6" s="857" t="s">
        <v>753</v>
      </c>
      <c r="S6" s="857" t="s">
        <v>754</v>
      </c>
      <c r="T6" s="857" t="s">
        <v>624</v>
      </c>
      <c r="U6" s="857" t="s">
        <v>219</v>
      </c>
      <c r="V6" s="857" t="s">
        <v>68</v>
      </c>
    </row>
    <row r="7" spans="1:22">
      <c r="A7" s="858">
        <v>1</v>
      </c>
      <c r="B7" s="858">
        <v>2</v>
      </c>
      <c r="C7" s="858">
        <v>3</v>
      </c>
      <c r="D7" s="859">
        <v>4</v>
      </c>
      <c r="E7" s="859">
        <v>5</v>
      </c>
      <c r="F7" s="859">
        <v>6</v>
      </c>
      <c r="G7" s="859"/>
      <c r="H7" s="858">
        <v>8</v>
      </c>
      <c r="I7" s="859">
        <v>9</v>
      </c>
      <c r="J7" s="859">
        <v>10</v>
      </c>
      <c r="K7" s="859">
        <v>11</v>
      </c>
      <c r="L7" s="859"/>
      <c r="M7" s="858">
        <v>12</v>
      </c>
      <c r="N7" s="859">
        <v>13</v>
      </c>
      <c r="O7" s="859">
        <v>14</v>
      </c>
      <c r="P7" s="859">
        <v>15</v>
      </c>
      <c r="Q7" s="859"/>
      <c r="R7" s="860">
        <v>16</v>
      </c>
      <c r="S7" s="860">
        <v>17</v>
      </c>
      <c r="T7" s="860">
        <v>18</v>
      </c>
      <c r="U7" s="860">
        <v>19</v>
      </c>
      <c r="V7" s="860"/>
    </row>
    <row r="8" spans="1:22">
      <c r="A8" s="858">
        <v>1</v>
      </c>
      <c r="B8" s="861" t="s">
        <v>755</v>
      </c>
      <c r="C8" s="1300"/>
      <c r="D8" s="1301"/>
      <c r="E8" s="1301"/>
      <c r="F8" s="1301"/>
      <c r="G8" s="1301">
        <f>[129]PPE2021!$B$23/10^7</f>
        <v>0</v>
      </c>
      <c r="H8" s="1300"/>
      <c r="I8" s="1301"/>
      <c r="J8" s="1301"/>
      <c r="K8" s="1301"/>
      <c r="L8" s="1301">
        <f>[129]PPE2021!B24/10^7</f>
        <v>0</v>
      </c>
      <c r="M8" s="1302"/>
      <c r="N8" s="1302"/>
      <c r="O8" s="1302"/>
      <c r="P8" s="1302"/>
      <c r="Q8" s="1302"/>
      <c r="R8" s="1302"/>
      <c r="S8" s="1302"/>
      <c r="T8" s="1302"/>
      <c r="U8" s="1302"/>
      <c r="V8" s="1301">
        <f t="shared" ref="V8:V18" si="0">G8+L8-Q8</f>
        <v>0</v>
      </c>
    </row>
    <row r="9" spans="1:22">
      <c r="A9" s="858">
        <v>2</v>
      </c>
      <c r="B9" s="861" t="s">
        <v>756</v>
      </c>
      <c r="C9" s="1300"/>
      <c r="D9" s="1301"/>
      <c r="E9" s="1301"/>
      <c r="F9" s="1301"/>
      <c r="G9" s="1301">
        <f>[129]PPE2021!C22/10^7</f>
        <v>7.9034151000000001</v>
      </c>
      <c r="H9" s="1302"/>
      <c r="I9" s="1302"/>
      <c r="J9" s="1302"/>
      <c r="K9" s="1302"/>
      <c r="L9" s="1301">
        <f>[129]PPE2021!C24/10^7</f>
        <v>3.3463677000000001</v>
      </c>
      <c r="M9" s="1302"/>
      <c r="N9" s="1302"/>
      <c r="O9" s="1302"/>
      <c r="P9" s="1301"/>
      <c r="Q9" s="1301"/>
      <c r="R9" s="1301"/>
      <c r="S9" s="1301"/>
      <c r="T9" s="1301"/>
      <c r="U9" s="1301"/>
      <c r="V9" s="1301">
        <f t="shared" si="0"/>
        <v>11.2497828</v>
      </c>
    </row>
    <row r="10" spans="1:22">
      <c r="A10" s="858">
        <v>3</v>
      </c>
      <c r="B10" s="861" t="s">
        <v>757</v>
      </c>
      <c r="C10" s="1300"/>
      <c r="D10" s="1301"/>
      <c r="E10" s="1301"/>
      <c r="F10" s="1301"/>
      <c r="G10" s="1301">
        <f>[129]PPE2021!D22/10^7</f>
        <v>2.4497E-3</v>
      </c>
      <c r="H10" s="1300"/>
      <c r="I10" s="1301"/>
      <c r="J10" s="1301"/>
      <c r="K10" s="1301"/>
      <c r="L10" s="1301">
        <f>[129]PPE2021!D24/10^7</f>
        <v>1.6187E-3</v>
      </c>
      <c r="M10" s="1300"/>
      <c r="N10" s="1301"/>
      <c r="O10" s="1301"/>
      <c r="P10" s="1301"/>
      <c r="Q10" s="1301"/>
      <c r="R10" s="1301"/>
      <c r="S10" s="1301"/>
      <c r="T10" s="1301"/>
      <c r="U10" s="1301"/>
      <c r="V10" s="1301">
        <f t="shared" si="0"/>
        <v>4.0683999999999998E-3</v>
      </c>
    </row>
    <row r="11" spans="1:22">
      <c r="A11" s="858">
        <v>4</v>
      </c>
      <c r="B11" s="861" t="s">
        <v>758</v>
      </c>
      <c r="C11" s="1300"/>
      <c r="D11" s="1301"/>
      <c r="E11" s="1301"/>
      <c r="F11" s="1301"/>
      <c r="G11" s="1301">
        <f>[129]PPE2021!E22/10^7</f>
        <v>31.928563499999999</v>
      </c>
      <c r="H11" s="1300"/>
      <c r="I11" s="1301"/>
      <c r="J11" s="1301"/>
      <c r="K11" s="1301"/>
      <c r="L11" s="1301">
        <f>[129]PPE2021!E24/10^7</f>
        <v>14.304242800000001</v>
      </c>
      <c r="M11" s="1300"/>
      <c r="N11" s="1301"/>
      <c r="O11" s="1301"/>
      <c r="P11" s="1301"/>
      <c r="Q11" s="1301"/>
      <c r="R11" s="1301"/>
      <c r="S11" s="1301"/>
      <c r="T11" s="1301"/>
      <c r="U11" s="1301"/>
      <c r="V11" s="1301">
        <f t="shared" si="0"/>
        <v>46.2328063</v>
      </c>
    </row>
    <row r="12" spans="1:22">
      <c r="A12" s="858">
        <v>5</v>
      </c>
      <c r="B12" s="861" t="s">
        <v>759</v>
      </c>
      <c r="C12" s="1300"/>
      <c r="D12" s="1301"/>
      <c r="E12" s="1301"/>
      <c r="F12" s="1301"/>
      <c r="G12" s="1301">
        <f>[129]PPE2021!F22/10^7</f>
        <v>560.77720620000002</v>
      </c>
      <c r="H12" s="1300"/>
      <c r="I12" s="1301"/>
      <c r="J12" s="1301"/>
      <c r="K12" s="1301"/>
      <c r="L12" s="1301">
        <f>[129]PPE2021!F24/10^7</f>
        <v>251.41476520000001</v>
      </c>
      <c r="M12" s="1300"/>
      <c r="N12" s="1301"/>
      <c r="O12" s="1301"/>
      <c r="P12" s="1301"/>
      <c r="Q12" s="1301">
        <f>[129]PPE2021!$F$25/10^7</f>
        <v>0.13747500000000001</v>
      </c>
      <c r="R12" s="1301"/>
      <c r="S12" s="1301"/>
      <c r="T12" s="1301"/>
      <c r="U12" s="1301"/>
      <c r="V12" s="1301">
        <f t="shared" si="0"/>
        <v>812.05449640000006</v>
      </c>
    </row>
    <row r="13" spans="1:22">
      <c r="A13" s="858">
        <v>6</v>
      </c>
      <c r="B13" s="861" t="s">
        <v>760</v>
      </c>
      <c r="C13" s="1300"/>
      <c r="D13" s="1301"/>
      <c r="E13" s="1301"/>
      <c r="F13" s="1301"/>
      <c r="G13" s="1301">
        <f>[129]PPE2021!G22/10^7</f>
        <v>493.45812089999998</v>
      </c>
      <c r="H13" s="1300"/>
      <c r="I13" s="1301"/>
      <c r="J13" s="1301"/>
      <c r="K13" s="1301"/>
      <c r="L13" s="1301">
        <f>[129]PPE2021!G24/10^7</f>
        <v>207.64049259999999</v>
      </c>
      <c r="M13" s="1300"/>
      <c r="N13" s="1301"/>
      <c r="O13" s="1301"/>
      <c r="P13" s="1301"/>
      <c r="Q13" s="1301">
        <f>[129]PPE2021!$G$25/10^7</f>
        <v>0.87309410500000006</v>
      </c>
      <c r="R13" s="1301"/>
      <c r="S13" s="1301"/>
      <c r="T13" s="1301"/>
      <c r="U13" s="1301"/>
      <c r="V13" s="1301">
        <f t="shared" si="0"/>
        <v>700.22551939499999</v>
      </c>
    </row>
    <row r="14" spans="1:22">
      <c r="A14" s="858">
        <v>7</v>
      </c>
      <c r="B14" s="861" t="s">
        <v>654</v>
      </c>
      <c r="C14" s="1300"/>
      <c r="D14" s="1301"/>
      <c r="E14" s="1301"/>
      <c r="F14" s="1301"/>
      <c r="G14" s="1301">
        <f>[129]PPE2021!H22/10^7</f>
        <v>0</v>
      </c>
      <c r="H14" s="1300"/>
      <c r="I14" s="1301"/>
      <c r="J14" s="1301"/>
      <c r="K14" s="1301"/>
      <c r="L14" s="1301">
        <f>[129]PPE2021!H24/10^7</f>
        <v>0</v>
      </c>
      <c r="M14" s="1300"/>
      <c r="N14" s="1301"/>
      <c r="O14" s="1301"/>
      <c r="P14" s="1301"/>
      <c r="Q14" s="1301"/>
      <c r="R14" s="1301"/>
      <c r="S14" s="1301"/>
      <c r="T14" s="1301"/>
      <c r="U14" s="1301"/>
      <c r="V14" s="1301">
        <f t="shared" si="0"/>
        <v>0</v>
      </c>
    </row>
    <row r="15" spans="1:22">
      <c r="A15" s="858">
        <v>8</v>
      </c>
      <c r="B15" s="861" t="s">
        <v>761</v>
      </c>
      <c r="C15" s="1300"/>
      <c r="D15" s="1301"/>
      <c r="E15" s="1301"/>
      <c r="F15" s="1301"/>
      <c r="G15" s="1301">
        <f>[129]PPE2021!I22/10^7</f>
        <v>1.3818931999999999</v>
      </c>
      <c r="H15" s="1300"/>
      <c r="I15" s="1301"/>
      <c r="J15" s="1301"/>
      <c r="K15" s="1301"/>
      <c r="L15" s="1301">
        <f>[129]PPE2021!I24/10^7</f>
        <v>0.62425640000000004</v>
      </c>
      <c r="M15" s="1300"/>
      <c r="N15" s="1301"/>
      <c r="O15" s="1301"/>
      <c r="P15" s="1301"/>
      <c r="Q15" s="1301"/>
      <c r="R15" s="1301"/>
      <c r="S15" s="1301"/>
      <c r="T15" s="1301"/>
      <c r="U15" s="1301"/>
      <c r="V15" s="1301">
        <f t="shared" si="0"/>
        <v>2.0061496000000001</v>
      </c>
    </row>
    <row r="16" spans="1:22">
      <c r="A16" s="858">
        <v>9</v>
      </c>
      <c r="B16" s="861" t="s">
        <v>762</v>
      </c>
      <c r="C16" s="1300"/>
      <c r="D16" s="1301"/>
      <c r="E16" s="1301"/>
      <c r="F16" s="1301"/>
      <c r="G16" s="1301">
        <f>[129]PPE2021!J22/10^7</f>
        <v>0.30559160000000002</v>
      </c>
      <c r="H16" s="1300"/>
      <c r="I16" s="1301"/>
      <c r="J16" s="1301"/>
      <c r="K16" s="1301"/>
      <c r="L16" s="1301">
        <f>[129]PPE2021!J24/10^7</f>
        <v>0.34450360000000002</v>
      </c>
      <c r="M16" s="1300"/>
      <c r="N16" s="1301"/>
      <c r="O16" s="1301"/>
      <c r="P16" s="1301"/>
      <c r="Q16" s="1301"/>
      <c r="R16" s="1301"/>
      <c r="S16" s="1301"/>
      <c r="T16" s="1301"/>
      <c r="U16" s="1301"/>
      <c r="V16" s="1301">
        <f t="shared" si="0"/>
        <v>0.65009519999999998</v>
      </c>
    </row>
    <row r="17" spans="1:22">
      <c r="A17" s="858">
        <v>10</v>
      </c>
      <c r="B17" s="861" t="s">
        <v>2002</v>
      </c>
      <c r="C17" s="1300"/>
      <c r="D17" s="1301"/>
      <c r="E17" s="1301"/>
      <c r="F17" s="1301"/>
      <c r="G17" s="1301">
        <f>[129]PPE2021!K22/10^7</f>
        <v>0.87663630000000003</v>
      </c>
      <c r="H17" s="1300"/>
      <c r="I17" s="1301"/>
      <c r="J17" s="1301"/>
      <c r="K17" s="1301"/>
      <c r="L17" s="1301">
        <f>[129]PPE2021!K24/10^7</f>
        <v>0.24432029999999999</v>
      </c>
      <c r="M17" s="1300"/>
      <c r="N17" s="1301"/>
      <c r="O17" s="1301"/>
      <c r="P17" s="1301"/>
      <c r="Q17" s="1301"/>
      <c r="R17" s="1301"/>
      <c r="S17" s="1301"/>
      <c r="T17" s="1301"/>
      <c r="U17" s="1301"/>
      <c r="V17" s="1301">
        <f t="shared" si="0"/>
        <v>1.1209566</v>
      </c>
    </row>
    <row r="18" spans="1:22" s="1307" customFormat="1">
      <c r="A18" s="1304"/>
      <c r="B18" s="862" t="s">
        <v>68</v>
      </c>
      <c r="C18" s="1305">
        <f>SUM(C8:C17)</f>
        <v>0</v>
      </c>
      <c r="D18" s="1305">
        <f t="shared" ref="D18:U18" si="1">SUM(D8:D17)</f>
        <v>0</v>
      </c>
      <c r="E18" s="1305">
        <f t="shared" si="1"/>
        <v>0</v>
      </c>
      <c r="F18" s="1305">
        <f t="shared" si="1"/>
        <v>0</v>
      </c>
      <c r="G18" s="1305">
        <f>SUM(G8:G17)</f>
        <v>1096.6338765</v>
      </c>
      <c r="H18" s="1305">
        <f t="shared" si="1"/>
        <v>0</v>
      </c>
      <c r="I18" s="1305">
        <f t="shared" si="1"/>
        <v>0</v>
      </c>
      <c r="J18" s="1305">
        <f t="shared" si="1"/>
        <v>0</v>
      </c>
      <c r="K18" s="1305">
        <f t="shared" si="1"/>
        <v>0</v>
      </c>
      <c r="L18" s="1305">
        <f>SUM(L8:L17)</f>
        <v>477.92056730000002</v>
      </c>
      <c r="M18" s="1305">
        <f t="shared" si="1"/>
        <v>0</v>
      </c>
      <c r="N18" s="1305">
        <f t="shared" si="1"/>
        <v>0</v>
      </c>
      <c r="O18" s="1305">
        <f t="shared" si="1"/>
        <v>0</v>
      </c>
      <c r="P18" s="1305">
        <f t="shared" si="1"/>
        <v>0</v>
      </c>
      <c r="Q18" s="1305">
        <f t="shared" si="1"/>
        <v>1.0105691050000001</v>
      </c>
      <c r="R18" s="1305">
        <f t="shared" si="1"/>
        <v>0</v>
      </c>
      <c r="S18" s="1305">
        <f t="shared" si="1"/>
        <v>0</v>
      </c>
      <c r="T18" s="1305">
        <f t="shared" si="1"/>
        <v>0</v>
      </c>
      <c r="U18" s="1305">
        <f t="shared" si="1"/>
        <v>0</v>
      </c>
      <c r="V18" s="1306">
        <f t="shared" si="0"/>
        <v>1573.5438746950001</v>
      </c>
    </row>
    <row r="23" spans="1:22" ht="15.75">
      <c r="R23" s="2003" t="s">
        <v>401</v>
      </c>
      <c r="S23" s="2003"/>
      <c r="T23" s="2003"/>
      <c r="U23" s="2003"/>
    </row>
  </sheetData>
  <mergeCells count="14">
    <mergeCell ref="A1:E1"/>
    <mergeCell ref="D3:E3"/>
    <mergeCell ref="C4:G4"/>
    <mergeCell ref="C5:G5"/>
    <mergeCell ref="B4:B6"/>
    <mergeCell ref="A4:A6"/>
    <mergeCell ref="A2:L2"/>
    <mergeCell ref="H4:L4"/>
    <mergeCell ref="H5:L5"/>
    <mergeCell ref="R23:U23"/>
    <mergeCell ref="M4:Q4"/>
    <mergeCell ref="M5:Q5"/>
    <mergeCell ref="R4:V4"/>
    <mergeCell ref="R5:V5"/>
  </mergeCells>
  <pageMargins left="0.33" right="0.39" top="0.74803149606299213" bottom="0.74803149606299213" header="0.31496062992125984" footer="0.31496062992125984"/>
  <pageSetup paperSize="9" scale="74"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pageSetUpPr fitToPage="1"/>
  </sheetPr>
  <dimension ref="A1:G20"/>
  <sheetViews>
    <sheetView showGridLines="0" view="pageBreakPreview" zoomScale="80" zoomScaleNormal="85" zoomScaleSheetLayoutView="80" workbookViewId="0">
      <selection activeCell="I11" sqref="I11"/>
    </sheetView>
  </sheetViews>
  <sheetFormatPr defaultColWidth="9.140625" defaultRowHeight="15"/>
  <cols>
    <col min="1" max="1" width="9.7109375" style="289" customWidth="1"/>
    <col min="2" max="2" width="25.85546875" style="289" bestFit="1" customWidth="1"/>
    <col min="3" max="4" width="16.140625" style="289" customWidth="1"/>
    <col min="5" max="5" width="19.7109375" style="289" customWidth="1"/>
    <col min="6" max="6" width="19.42578125" style="289" customWidth="1"/>
    <col min="7" max="12" width="9.140625" style="289"/>
    <col min="13" max="13" width="8" style="289" customWidth="1"/>
    <col min="14" max="16384" width="9.140625" style="289"/>
  </cols>
  <sheetData>
    <row r="1" spans="1:7" s="94" customFormat="1" ht="21" customHeight="1">
      <c r="A1" s="2023" t="s">
        <v>1158</v>
      </c>
      <c r="B1" s="2024"/>
      <c r="C1" s="2024"/>
      <c r="D1" s="2024"/>
      <c r="E1" s="2024"/>
      <c r="F1" s="2024"/>
    </row>
    <row r="2" spans="1:7" s="94" customFormat="1" ht="21" customHeight="1">
      <c r="A2" s="2026" t="s">
        <v>897</v>
      </c>
      <c r="B2" s="2026"/>
      <c r="C2" s="2026"/>
      <c r="D2" s="2026"/>
      <c r="E2" s="1960" t="s">
        <v>861</v>
      </c>
      <c r="F2" s="1960"/>
    </row>
    <row r="3" spans="1:7" ht="21" customHeight="1">
      <c r="A3" s="70"/>
      <c r="B3" s="2033"/>
      <c r="C3" s="2033"/>
      <c r="D3" s="2033"/>
      <c r="E3" s="1959" t="s">
        <v>320</v>
      </c>
      <c r="F3" s="1959"/>
    </row>
    <row r="4" spans="1:7" ht="21" customHeight="1">
      <c r="A4" s="100"/>
      <c r="B4" s="192" t="s">
        <v>157</v>
      </c>
      <c r="C4" s="320"/>
      <c r="D4" s="320"/>
      <c r="E4" s="320"/>
      <c r="F4" s="219"/>
      <c r="G4" s="72"/>
    </row>
    <row r="5" spans="1:7" ht="66.75" customHeight="1">
      <c r="A5" s="191" t="s">
        <v>158</v>
      </c>
      <c r="B5" s="283" t="s">
        <v>159</v>
      </c>
      <c r="C5" s="283" t="s">
        <v>160</v>
      </c>
      <c r="D5" s="283" t="s">
        <v>161</v>
      </c>
      <c r="E5" s="283" t="s">
        <v>162</v>
      </c>
      <c r="F5" s="283" t="s">
        <v>163</v>
      </c>
      <c r="G5" s="72"/>
    </row>
    <row r="6" spans="1:7" ht="21" customHeight="1">
      <c r="A6" s="2027" t="s">
        <v>328</v>
      </c>
      <c r="B6" s="2028"/>
      <c r="C6" s="2028"/>
      <c r="D6" s="2028"/>
      <c r="E6" s="2028"/>
      <c r="F6" s="2029"/>
      <c r="G6" s="72"/>
    </row>
    <row r="7" spans="1:7" ht="21" customHeight="1">
      <c r="A7" s="2030"/>
      <c r="B7" s="2031"/>
      <c r="C7" s="2031"/>
      <c r="D7" s="2031"/>
      <c r="E7" s="2031"/>
      <c r="F7" s="2032"/>
    </row>
    <row r="8" spans="1:7" ht="21" customHeight="1" thickBot="1">
      <c r="A8" s="124"/>
      <c r="B8" s="124"/>
      <c r="C8" s="220">
        <f>SUM(C6:C7)</f>
        <v>0</v>
      </c>
      <c r="D8" s="220"/>
      <c r="E8" s="220">
        <f>SUM(E6:E7)</f>
        <v>0</v>
      </c>
      <c r="F8" s="220">
        <f>SUM(F6:F7)</f>
        <v>0</v>
      </c>
    </row>
    <row r="9" spans="1:7" ht="21" customHeight="1" thickTop="1">
      <c r="A9" s="2020" t="s">
        <v>327</v>
      </c>
      <c r="B9" s="2021"/>
      <c r="C9" s="2021"/>
      <c r="D9" s="2021"/>
      <c r="E9" s="2021"/>
      <c r="F9" s="2022"/>
    </row>
    <row r="10" spans="1:7" ht="21" customHeight="1">
      <c r="A10" s="72"/>
      <c r="B10" s="72"/>
      <c r="C10" s="72"/>
      <c r="D10" s="72"/>
      <c r="E10" s="72"/>
      <c r="F10" s="72"/>
    </row>
    <row r="11" spans="1:7" ht="21" customHeight="1">
      <c r="A11" s="72"/>
      <c r="B11" s="72"/>
      <c r="C11" s="72"/>
      <c r="D11" s="72"/>
      <c r="E11" s="2025" t="s">
        <v>401</v>
      </c>
      <c r="F11" s="2025"/>
    </row>
    <row r="12" spans="1:7" ht="21" customHeight="1">
      <c r="A12" s="72"/>
      <c r="B12" s="72"/>
      <c r="C12" s="72"/>
      <c r="D12" s="72"/>
      <c r="E12" s="287"/>
      <c r="F12" s="287"/>
    </row>
    <row r="13" spans="1:7" ht="21" hidden="1" customHeight="1">
      <c r="A13" s="72"/>
      <c r="B13" s="72"/>
      <c r="C13" s="72"/>
      <c r="D13" s="72"/>
      <c r="E13" s="287"/>
      <c r="F13" s="287"/>
    </row>
    <row r="14" spans="1:7" ht="21" hidden="1" customHeight="1">
      <c r="A14" s="176" t="s">
        <v>187</v>
      </c>
      <c r="B14" s="176"/>
      <c r="C14" s="176"/>
      <c r="D14" s="176"/>
      <c r="E14" s="176"/>
      <c r="F14" s="176"/>
    </row>
    <row r="15" spans="1:7" ht="21" hidden="1" customHeight="1">
      <c r="A15" s="286">
        <v>1</v>
      </c>
      <c r="B15" s="196" t="s">
        <v>339</v>
      </c>
      <c r="C15" s="1932" t="s">
        <v>357</v>
      </c>
      <c r="D15" s="1991"/>
      <c r="E15" s="1991"/>
      <c r="F15" s="1935"/>
    </row>
    <row r="16" spans="1:7" ht="21" hidden="1" customHeight="1">
      <c r="A16" s="286">
        <v>2</v>
      </c>
      <c r="B16" s="197" t="s">
        <v>343</v>
      </c>
      <c r="C16" s="1932" t="s">
        <v>129</v>
      </c>
      <c r="D16" s="1991"/>
      <c r="E16" s="1991"/>
      <c r="F16" s="1935"/>
    </row>
    <row r="17" spans="1:6" ht="21" hidden="1" customHeight="1">
      <c r="A17" s="286">
        <v>3</v>
      </c>
      <c r="B17" s="197" t="s">
        <v>330</v>
      </c>
      <c r="C17" s="1932" t="s">
        <v>403</v>
      </c>
      <c r="D17" s="1991"/>
      <c r="E17" s="1991"/>
      <c r="F17" s="1935"/>
    </row>
    <row r="18" spans="1:6" ht="21" hidden="1" customHeight="1">
      <c r="A18" s="286">
        <v>4</v>
      </c>
      <c r="B18" s="197" t="s">
        <v>331</v>
      </c>
      <c r="C18" s="1932" t="s">
        <v>404</v>
      </c>
      <c r="D18" s="1991"/>
      <c r="E18" s="1991"/>
      <c r="F18" s="1935"/>
    </row>
    <row r="19" spans="1:6" ht="21" hidden="1" customHeight="1">
      <c r="A19" s="286">
        <v>5</v>
      </c>
      <c r="B19" s="197" t="s">
        <v>332</v>
      </c>
      <c r="C19" s="1932"/>
      <c r="D19" s="1991"/>
      <c r="E19" s="1991"/>
      <c r="F19" s="1935"/>
    </row>
    <row r="20" spans="1:6" hidden="1"/>
  </sheetData>
  <mergeCells count="13">
    <mergeCell ref="C18:F18"/>
    <mergeCell ref="C19:F19"/>
    <mergeCell ref="A9:F9"/>
    <mergeCell ref="A1:F1"/>
    <mergeCell ref="E11:F11"/>
    <mergeCell ref="C15:F15"/>
    <mergeCell ref="C16:F16"/>
    <mergeCell ref="C17:F17"/>
    <mergeCell ref="A2:D2"/>
    <mergeCell ref="E2:F2"/>
    <mergeCell ref="E3:F3"/>
    <mergeCell ref="A6:F7"/>
    <mergeCell ref="B3:D3"/>
  </mergeCells>
  <pageMargins left="0.44" right="0.31" top="0.74803149606299213" bottom="0.74803149606299213" header="0.31496062992125984" footer="0.31496062992125984"/>
  <pageSetup paperSize="9" scale="8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A1:M28"/>
  <sheetViews>
    <sheetView showGridLines="0" view="pageBreakPreview" zoomScale="70" zoomScaleNormal="100" zoomScaleSheetLayoutView="70" workbookViewId="0">
      <pane xSplit="2" ySplit="4" topLeftCell="C5" activePane="bottomRight" state="frozen"/>
      <selection pane="topRight" activeCell="C1" sqref="C1"/>
      <selection pane="bottomLeft" activeCell="A5" sqref="A5"/>
      <selection pane="bottomRight" activeCell="G17" sqref="G17"/>
    </sheetView>
  </sheetViews>
  <sheetFormatPr defaultColWidth="9.140625" defaultRowHeight="15"/>
  <cols>
    <col min="1" max="1" width="6.140625" style="225" customWidth="1"/>
    <col min="2" max="2" width="30.7109375" style="125" customWidth="1"/>
    <col min="3" max="13" width="15.42578125" style="125" customWidth="1"/>
    <col min="14" max="16384" width="9.140625" style="289"/>
  </cols>
  <sheetData>
    <row r="1" spans="1:13" ht="21" customHeight="1">
      <c r="A1" s="2037" t="s">
        <v>1158</v>
      </c>
      <c r="B1" s="2038"/>
      <c r="C1" s="2038"/>
      <c r="D1" s="2038"/>
      <c r="E1" s="2038"/>
      <c r="F1" s="2038"/>
      <c r="G1" s="2038"/>
      <c r="H1" s="2038"/>
      <c r="I1" s="2038"/>
      <c r="J1" s="2038"/>
      <c r="K1" s="2038"/>
      <c r="L1" s="2038"/>
      <c r="M1" s="2038"/>
    </row>
    <row r="2" spans="1:13" ht="21" customHeight="1">
      <c r="A2" s="2035" t="s">
        <v>617</v>
      </c>
      <c r="B2" s="2036"/>
      <c r="C2" s="2036"/>
      <c r="D2" s="2036"/>
      <c r="E2" s="2036"/>
      <c r="F2" s="2036"/>
      <c r="G2" s="2036"/>
      <c r="H2" s="2036"/>
      <c r="I2" s="2036"/>
      <c r="J2" s="2036"/>
      <c r="K2" s="2036"/>
      <c r="L2" s="2036"/>
      <c r="M2" s="223" t="s">
        <v>527</v>
      </c>
    </row>
    <row r="3" spans="1:13" ht="23.25" customHeight="1">
      <c r="A3" s="2041"/>
      <c r="B3" s="2042" t="s">
        <v>48</v>
      </c>
      <c r="C3" s="2039" t="s">
        <v>1108</v>
      </c>
      <c r="D3" s="2044"/>
      <c r="E3" s="2045"/>
      <c r="F3" s="2046" t="s">
        <v>1173</v>
      </c>
      <c r="G3" s="2047"/>
      <c r="H3" s="2046" t="s">
        <v>1841</v>
      </c>
      <c r="I3" s="2047"/>
      <c r="J3" s="2046" t="s">
        <v>1842</v>
      </c>
      <c r="K3" s="2047"/>
      <c r="L3" s="2039" t="s">
        <v>1843</v>
      </c>
      <c r="M3" s="2040"/>
    </row>
    <row r="4" spans="1:13" ht="61.5" customHeight="1">
      <c r="A4" s="2041"/>
      <c r="B4" s="2043"/>
      <c r="C4" s="321" t="s">
        <v>164</v>
      </c>
      <c r="D4" s="321" t="s">
        <v>417</v>
      </c>
      <c r="E4" s="321" t="s">
        <v>165</v>
      </c>
      <c r="F4" s="321" t="s">
        <v>417</v>
      </c>
      <c r="G4" s="321" t="s">
        <v>165</v>
      </c>
      <c r="H4" s="848" t="s">
        <v>417</v>
      </c>
      <c r="I4" s="848" t="s">
        <v>165</v>
      </c>
      <c r="J4" s="848" t="s">
        <v>417</v>
      </c>
      <c r="K4" s="848" t="s">
        <v>165</v>
      </c>
      <c r="L4" s="321" t="s">
        <v>417</v>
      </c>
      <c r="M4" s="321" t="s">
        <v>165</v>
      </c>
    </row>
    <row r="5" spans="1:13" ht="45">
      <c r="A5" s="195">
        <v>1</v>
      </c>
      <c r="B5" s="71" t="s">
        <v>615</v>
      </c>
      <c r="C5" s="635"/>
      <c r="D5" s="636">
        <v>0</v>
      </c>
      <c r="E5" s="636">
        <f>C5+D5</f>
        <v>0</v>
      </c>
      <c r="F5" s="636">
        <v>0</v>
      </c>
      <c r="G5" s="636">
        <f>E5+F5</f>
        <v>0</v>
      </c>
      <c r="H5" s="636"/>
      <c r="I5" s="636">
        <f>G5+H5</f>
        <v>0</v>
      </c>
      <c r="J5" s="636"/>
      <c r="K5" s="636"/>
      <c r="L5" s="636">
        <v>0</v>
      </c>
      <c r="M5" s="636">
        <f>G5+L5</f>
        <v>0</v>
      </c>
    </row>
    <row r="6" spans="1:13" ht="30">
      <c r="A6" s="195">
        <v>2</v>
      </c>
      <c r="B6" s="71" t="s">
        <v>166</v>
      </c>
      <c r="C6" s="636">
        <f>'F7-2'!D48</f>
        <v>1915.45</v>
      </c>
      <c r="D6" s="636">
        <f>'F7-2'!D49+'F7-2'!D50</f>
        <v>25.29</v>
      </c>
      <c r="E6" s="636">
        <f>C6+D6</f>
        <v>1940.74</v>
      </c>
      <c r="F6" s="636">
        <f>'F7-2'!F49+'F7-2'!F50</f>
        <v>195.31</v>
      </c>
      <c r="G6" s="636">
        <f>E6+F6</f>
        <v>2136.0500000000002</v>
      </c>
      <c r="H6" s="636">
        <f>'F7-2'!G49+'F7-2'!G50</f>
        <v>79.540000000000006</v>
      </c>
      <c r="I6" s="636">
        <f>G6+H6</f>
        <v>2215.59</v>
      </c>
      <c r="J6" s="636">
        <f>'F7-2'!H49+'F7-2'!H50</f>
        <v>0</v>
      </c>
      <c r="K6" s="636">
        <f>I6+J6</f>
        <v>2215.59</v>
      </c>
      <c r="L6" s="636">
        <f>'F7-2'!I49+'F7-2'!I50</f>
        <v>0</v>
      </c>
      <c r="M6" s="636">
        <f>K6+L6</f>
        <v>2215.59</v>
      </c>
    </row>
    <row r="7" spans="1:13" ht="21" customHeight="1">
      <c r="A7" s="322" t="s">
        <v>137</v>
      </c>
      <c r="B7" s="323" t="s">
        <v>592</v>
      </c>
      <c r="C7" s="324"/>
      <c r="D7" s="324"/>
      <c r="E7" s="324"/>
      <c r="F7" s="324"/>
      <c r="G7" s="324"/>
      <c r="H7" s="324"/>
      <c r="I7" s="324"/>
      <c r="J7" s="324"/>
      <c r="K7" s="324"/>
      <c r="L7" s="324"/>
      <c r="M7" s="324"/>
    </row>
    <row r="8" spans="1:13" ht="21" customHeight="1">
      <c r="A8" s="224" t="s">
        <v>587</v>
      </c>
      <c r="B8" s="221"/>
      <c r="C8" s="222"/>
      <c r="D8" s="222"/>
      <c r="E8" s="222"/>
      <c r="F8" s="222"/>
      <c r="G8" s="222"/>
      <c r="H8" s="222"/>
      <c r="I8" s="222"/>
      <c r="J8" s="222"/>
      <c r="K8" s="222"/>
      <c r="L8" s="222"/>
      <c r="M8" s="222"/>
    </row>
    <row r="9" spans="1:13" ht="45">
      <c r="A9" s="195">
        <f>+A6+1</f>
        <v>3</v>
      </c>
      <c r="B9" s="71" t="s">
        <v>615</v>
      </c>
      <c r="C9" s="637">
        <f>C5</f>
        <v>0</v>
      </c>
      <c r="D9" s="637">
        <f t="shared" ref="D9:M9" si="0">D5</f>
        <v>0</v>
      </c>
      <c r="E9" s="637">
        <f t="shared" si="0"/>
        <v>0</v>
      </c>
      <c r="F9" s="637">
        <f t="shared" si="0"/>
        <v>0</v>
      </c>
      <c r="G9" s="637">
        <f t="shared" si="0"/>
        <v>0</v>
      </c>
      <c r="H9" s="637"/>
      <c r="I9" s="636">
        <f t="shared" ref="I9:I10" si="1">G9+H9</f>
        <v>0</v>
      </c>
      <c r="J9" s="637"/>
      <c r="K9" s="637"/>
      <c r="L9" s="637">
        <f t="shared" si="0"/>
        <v>0</v>
      </c>
      <c r="M9" s="637">
        <f t="shared" si="0"/>
        <v>0</v>
      </c>
    </row>
    <row r="10" spans="1:13" ht="30">
      <c r="A10" s="195">
        <f>+A9+1</f>
        <v>4</v>
      </c>
      <c r="B10" s="71" t="s">
        <v>166</v>
      </c>
      <c r="C10" s="637">
        <v>0</v>
      </c>
      <c r="D10" s="637">
        <v>0</v>
      </c>
      <c r="E10" s="637">
        <v>0</v>
      </c>
      <c r="F10" s="637">
        <v>0</v>
      </c>
      <c r="G10" s="637">
        <v>0</v>
      </c>
      <c r="H10" s="637"/>
      <c r="I10" s="636">
        <f t="shared" si="1"/>
        <v>0</v>
      </c>
      <c r="J10" s="637"/>
      <c r="K10" s="637"/>
      <c r="L10" s="637">
        <v>0</v>
      </c>
      <c r="M10" s="637">
        <v>0</v>
      </c>
    </row>
    <row r="11" spans="1:13" ht="21" customHeight="1">
      <c r="A11" s="322" t="s">
        <v>142</v>
      </c>
      <c r="B11" s="323" t="s">
        <v>593</v>
      </c>
      <c r="C11" s="325"/>
      <c r="D11" s="325"/>
      <c r="E11" s="325"/>
      <c r="F11" s="325"/>
      <c r="G11" s="325"/>
      <c r="H11" s="325"/>
      <c r="I11" s="325"/>
      <c r="J11" s="325"/>
      <c r="K11" s="325"/>
      <c r="L11" s="325"/>
      <c r="M11" s="325"/>
    </row>
    <row r="12" spans="1:13" ht="21" customHeight="1">
      <c r="A12" s="224" t="s">
        <v>588</v>
      </c>
      <c r="B12" s="221"/>
      <c r="C12" s="247"/>
      <c r="D12" s="247"/>
      <c r="E12" s="247"/>
      <c r="F12" s="247"/>
      <c r="G12" s="247"/>
      <c r="H12" s="247"/>
      <c r="I12" s="247"/>
      <c r="J12" s="247"/>
      <c r="K12" s="247"/>
      <c r="L12" s="247"/>
      <c r="M12" s="247"/>
    </row>
    <row r="13" spans="1:13" ht="31.5" customHeight="1">
      <c r="A13" s="195">
        <f>A10+1</f>
        <v>5</v>
      </c>
      <c r="B13" s="71" t="s">
        <v>615</v>
      </c>
      <c r="C13" s="638">
        <f>C5</f>
        <v>0</v>
      </c>
      <c r="D13" s="638">
        <f t="shared" ref="D13:M13" si="2">D5</f>
        <v>0</v>
      </c>
      <c r="E13" s="638">
        <f t="shared" si="2"/>
        <v>0</v>
      </c>
      <c r="F13" s="638">
        <f t="shared" si="2"/>
        <v>0</v>
      </c>
      <c r="G13" s="638">
        <f t="shared" si="2"/>
        <v>0</v>
      </c>
      <c r="H13" s="638"/>
      <c r="I13" s="636">
        <f t="shared" ref="I13" si="3">G13+H13</f>
        <v>0</v>
      </c>
      <c r="J13" s="638"/>
      <c r="K13" s="638"/>
      <c r="L13" s="638">
        <f t="shared" si="2"/>
        <v>0</v>
      </c>
      <c r="M13" s="638">
        <f t="shared" si="2"/>
        <v>0</v>
      </c>
    </row>
    <row r="14" spans="1:13" ht="28.5" customHeight="1">
      <c r="A14" s="195">
        <f>+A13+1</f>
        <v>6</v>
      </c>
      <c r="B14" s="71" t="s">
        <v>166</v>
      </c>
      <c r="C14" s="638">
        <f>C6</f>
        <v>1915.45</v>
      </c>
      <c r="D14" s="638">
        <f t="shared" ref="D14:M14" si="4">D6</f>
        <v>25.29</v>
      </c>
      <c r="E14" s="638">
        <f t="shared" si="4"/>
        <v>1940.74</v>
      </c>
      <c r="F14" s="638">
        <f t="shared" si="4"/>
        <v>195.31</v>
      </c>
      <c r="G14" s="638">
        <f t="shared" si="4"/>
        <v>2136.0500000000002</v>
      </c>
      <c r="H14" s="638">
        <f t="shared" si="4"/>
        <v>79.540000000000006</v>
      </c>
      <c r="I14" s="638">
        <f t="shared" si="4"/>
        <v>2215.59</v>
      </c>
      <c r="J14" s="638">
        <f t="shared" si="4"/>
        <v>0</v>
      </c>
      <c r="K14" s="638">
        <f t="shared" si="4"/>
        <v>2215.59</v>
      </c>
      <c r="L14" s="638">
        <f t="shared" si="4"/>
        <v>0</v>
      </c>
      <c r="M14" s="638">
        <f t="shared" si="4"/>
        <v>2215.59</v>
      </c>
    </row>
    <row r="15" spans="1:13" ht="21" customHeight="1">
      <c r="A15" s="322" t="s">
        <v>183</v>
      </c>
      <c r="B15" s="323" t="s">
        <v>594</v>
      </c>
      <c r="C15" s="325"/>
      <c r="D15" s="325"/>
      <c r="E15" s="325"/>
      <c r="F15" s="325"/>
      <c r="G15" s="325"/>
      <c r="H15" s="325"/>
      <c r="I15" s="325"/>
      <c r="J15" s="325"/>
      <c r="K15" s="325"/>
      <c r="L15" s="325"/>
      <c r="M15" s="325"/>
    </row>
    <row r="16" spans="1:13">
      <c r="A16" s="224" t="s">
        <v>589</v>
      </c>
      <c r="B16" s="221"/>
      <c r="C16" s="247"/>
      <c r="D16" s="247"/>
      <c r="E16" s="247"/>
      <c r="F16" s="247"/>
      <c r="G16" s="247"/>
      <c r="H16" s="247"/>
      <c r="I16" s="247"/>
      <c r="J16" s="247"/>
      <c r="K16" s="247"/>
      <c r="L16" s="247"/>
      <c r="M16" s="247"/>
    </row>
    <row r="17" spans="1:13" ht="45">
      <c r="A17" s="195">
        <f>+A14+1</f>
        <v>7</v>
      </c>
      <c r="B17" s="71" t="s">
        <v>615</v>
      </c>
      <c r="C17" s="638">
        <v>0</v>
      </c>
      <c r="D17" s="638">
        <v>0</v>
      </c>
      <c r="E17" s="638">
        <v>0</v>
      </c>
      <c r="F17" s="638">
        <v>0</v>
      </c>
      <c r="G17" s="638">
        <v>0</v>
      </c>
      <c r="H17" s="638"/>
      <c r="I17" s="638"/>
      <c r="J17" s="638"/>
      <c r="K17" s="638"/>
      <c r="L17" s="638">
        <v>0</v>
      </c>
      <c r="M17" s="638">
        <v>0</v>
      </c>
    </row>
    <row r="18" spans="1:13" ht="30">
      <c r="A18" s="195">
        <f>+A17+1</f>
        <v>8</v>
      </c>
      <c r="B18" s="71" t="s">
        <v>166</v>
      </c>
      <c r="C18" s="638">
        <v>0</v>
      </c>
      <c r="D18" s="638">
        <v>0</v>
      </c>
      <c r="E18" s="638">
        <v>0</v>
      </c>
      <c r="F18" s="638">
        <v>0</v>
      </c>
      <c r="G18" s="638">
        <v>0</v>
      </c>
      <c r="H18" s="638"/>
      <c r="I18" s="638"/>
      <c r="J18" s="638"/>
      <c r="K18" s="638"/>
      <c r="L18" s="638">
        <v>0</v>
      </c>
      <c r="M18" s="638">
        <v>0</v>
      </c>
    </row>
    <row r="19" spans="1:13">
      <c r="A19" s="322" t="s">
        <v>183</v>
      </c>
      <c r="B19" s="323" t="s">
        <v>595</v>
      </c>
      <c r="C19" s="325"/>
      <c r="D19" s="325"/>
      <c r="E19" s="325"/>
      <c r="F19" s="325"/>
      <c r="G19" s="325"/>
      <c r="H19" s="325"/>
      <c r="I19" s="325"/>
      <c r="J19" s="325"/>
      <c r="K19" s="325"/>
      <c r="L19" s="325"/>
      <c r="M19" s="325"/>
    </row>
    <row r="20" spans="1:13" ht="30">
      <c r="A20" s="291" t="s">
        <v>184</v>
      </c>
      <c r="B20" s="173" t="s">
        <v>591</v>
      </c>
      <c r="C20" s="248"/>
      <c r="D20" s="248"/>
      <c r="E20" s="248"/>
      <c r="F20" s="248"/>
      <c r="G20" s="248"/>
      <c r="H20" s="248"/>
      <c r="I20" s="248"/>
      <c r="J20" s="248"/>
      <c r="K20" s="248"/>
      <c r="L20" s="248"/>
      <c r="M20" s="248"/>
    </row>
    <row r="21" spans="1:13" ht="30">
      <c r="A21" s="291" t="s">
        <v>185</v>
      </c>
      <c r="B21" s="173" t="s">
        <v>590</v>
      </c>
      <c r="C21" s="248"/>
      <c r="D21" s="248"/>
      <c r="E21" s="248"/>
      <c r="F21" s="248"/>
      <c r="G21" s="248"/>
      <c r="H21" s="248"/>
      <c r="I21" s="248"/>
      <c r="J21" s="248"/>
      <c r="K21" s="248"/>
      <c r="L21" s="248"/>
      <c r="M21" s="248"/>
    </row>
    <row r="22" spans="1:13" ht="45">
      <c r="A22" s="291" t="s">
        <v>186</v>
      </c>
      <c r="B22" s="173" t="s">
        <v>597</v>
      </c>
      <c r="C22" s="248"/>
      <c r="D22" s="248"/>
      <c r="E22" s="248"/>
      <c r="F22" s="248"/>
      <c r="G22" s="248"/>
      <c r="H22" s="248"/>
      <c r="I22" s="248"/>
      <c r="J22" s="248"/>
      <c r="K22" s="248"/>
      <c r="L22" s="248"/>
      <c r="M22" s="248"/>
    </row>
    <row r="23" spans="1:13" ht="60">
      <c r="A23" s="291" t="s">
        <v>314</v>
      </c>
      <c r="B23" s="173" t="s">
        <v>596</v>
      </c>
      <c r="C23" s="639">
        <f>'F7-2'!D54</f>
        <v>99.807401213898885</v>
      </c>
      <c r="D23" s="639">
        <f>'F7-2'!D55</f>
        <v>1.3241342860880805</v>
      </c>
      <c r="E23" s="639">
        <f>C23+D23</f>
        <v>101.13153549998697</v>
      </c>
      <c r="F23" s="639">
        <f>'F7-2'!F55</f>
        <v>10.226044579512179</v>
      </c>
      <c r="G23" s="639">
        <f>E23+F23</f>
        <v>111.35758007949914</v>
      </c>
      <c r="H23" s="639">
        <f>'F7-2'!G55</f>
        <v>4.1645567859013815</v>
      </c>
      <c r="I23" s="639">
        <f>G23+H23</f>
        <v>115.52213686540053</v>
      </c>
      <c r="J23" s="639">
        <f>'F7-2'!H55</f>
        <v>0</v>
      </c>
      <c r="K23" s="639">
        <f>I23+J23</f>
        <v>115.52213686540053</v>
      </c>
      <c r="L23" s="639">
        <f>'F7-2'!I55</f>
        <v>0</v>
      </c>
      <c r="M23" s="639">
        <f>K23+L23</f>
        <v>115.52213686540053</v>
      </c>
    </row>
    <row r="24" spans="1:13">
      <c r="A24" s="2034" t="s">
        <v>598</v>
      </c>
      <c r="B24" s="2034"/>
      <c r="C24" s="2034"/>
      <c r="D24" s="2034"/>
      <c r="E24" s="2034"/>
      <c r="F24" s="2034"/>
      <c r="G24" s="2034"/>
      <c r="H24" s="850"/>
      <c r="I24" s="850"/>
      <c r="J24" s="850"/>
      <c r="K24" s="850"/>
    </row>
    <row r="28" spans="1:13">
      <c r="G28" s="2025" t="s">
        <v>401</v>
      </c>
      <c r="H28" s="2025"/>
      <c r="I28" s="2025"/>
      <c r="J28" s="2025"/>
      <c r="K28" s="2025"/>
      <c r="L28" s="2025"/>
    </row>
  </sheetData>
  <mergeCells count="11">
    <mergeCell ref="G28:L28"/>
    <mergeCell ref="A24:G24"/>
    <mergeCell ref="A2:L2"/>
    <mergeCell ref="A1:M1"/>
    <mergeCell ref="L3:M3"/>
    <mergeCell ref="A3:A4"/>
    <mergeCell ref="B3:B4"/>
    <mergeCell ref="C3:E3"/>
    <mergeCell ref="F3:G3"/>
    <mergeCell ref="H3:I3"/>
    <mergeCell ref="J3:K3"/>
  </mergeCells>
  <printOptions horizontalCentered="1"/>
  <pageMargins left="0.3" right="0.25" top="0.74803149606299202" bottom="0.74803149606299202" header="0.31496062992126" footer="0.31496062992126"/>
  <pageSetup paperSize="9" scale="62"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31"/>
  <sheetViews>
    <sheetView showGridLines="0" view="pageBreakPreview" topLeftCell="B1" zoomScale="70" zoomScaleNormal="80" zoomScaleSheetLayoutView="70" workbookViewId="0">
      <pane xSplit="1" ySplit="1" topLeftCell="I2" activePane="bottomRight" state="frozen"/>
      <selection activeCell="B1" sqref="B1"/>
      <selection pane="topRight" activeCell="C1" sqref="C1"/>
      <selection pane="bottomLeft" activeCell="B2" sqref="B2"/>
      <selection pane="bottomRight" activeCell="D11" sqref="D11:D12"/>
    </sheetView>
  </sheetViews>
  <sheetFormatPr defaultColWidth="9.140625" defaultRowHeight="15.75"/>
  <cols>
    <col min="1" max="1" width="4.5703125" style="360" customWidth="1"/>
    <col min="2" max="2" width="76.7109375" style="74" customWidth="1"/>
    <col min="3" max="5" width="16.140625" style="74" customWidth="1"/>
    <col min="6" max="6" width="9.5703125" style="74" hidden="1" customWidth="1"/>
    <col min="7" max="7" width="11.42578125" style="74" hidden="1" customWidth="1"/>
    <col min="8" max="9" width="16.140625" style="74" customWidth="1"/>
    <col min="10" max="10" width="16.140625" style="849" customWidth="1"/>
    <col min="11" max="11" width="16.140625" style="74" customWidth="1"/>
    <col min="12" max="13" width="13.28515625" style="74" bestFit="1" customWidth="1"/>
    <col min="14" max="14" width="12.140625" style="74" bestFit="1" customWidth="1"/>
    <col min="15" max="16384" width="9.140625" style="74"/>
  </cols>
  <sheetData>
    <row r="1" spans="1:16" ht="21" customHeight="1">
      <c r="A1" s="2004" t="s">
        <v>1158</v>
      </c>
      <c r="B1" s="2005"/>
      <c r="C1" s="2005"/>
      <c r="D1" s="2005"/>
      <c r="E1" s="2005"/>
      <c r="F1" s="2005"/>
      <c r="G1" s="2005"/>
      <c r="H1" s="2005"/>
    </row>
    <row r="2" spans="1:16">
      <c r="A2" s="2009" t="s">
        <v>1178</v>
      </c>
      <c r="B2" s="2009"/>
      <c r="C2" s="434"/>
      <c r="D2" s="434"/>
      <c r="E2" s="434"/>
      <c r="F2" s="434"/>
      <c r="G2" s="1995"/>
      <c r="H2" s="1995"/>
      <c r="I2" s="1995" t="s">
        <v>862</v>
      </c>
      <c r="J2" s="1995"/>
      <c r="K2" s="1995"/>
    </row>
    <row r="3" spans="1:16">
      <c r="A3" s="2010"/>
      <c r="B3" s="2010"/>
      <c r="C3" s="435"/>
      <c r="D3" s="435"/>
      <c r="E3" s="435"/>
      <c r="F3" s="1856" t="s">
        <v>320</v>
      </c>
      <c r="G3" s="1856"/>
      <c r="H3" s="1856"/>
    </row>
    <row r="4" spans="1:16" ht="39" customHeight="1">
      <c r="A4" s="2006"/>
      <c r="B4" s="2008" t="s">
        <v>48</v>
      </c>
      <c r="C4" s="1829" t="s">
        <v>1846</v>
      </c>
      <c r="D4" s="1831"/>
      <c r="E4" s="1824" t="s">
        <v>1847</v>
      </c>
      <c r="F4" s="1825"/>
      <c r="G4" s="1825"/>
      <c r="H4" s="1826"/>
      <c r="I4" s="1820" t="s">
        <v>1863</v>
      </c>
      <c r="J4" s="1820"/>
      <c r="K4" s="1820"/>
    </row>
    <row r="5" spans="1:16" ht="44.25" customHeight="1">
      <c r="A5" s="2007"/>
      <c r="B5" s="2008"/>
      <c r="C5" s="361" t="s">
        <v>1160</v>
      </c>
      <c r="D5" s="282" t="s">
        <v>1175</v>
      </c>
      <c r="E5" s="361" t="s">
        <v>1160</v>
      </c>
      <c r="F5" s="361" t="s">
        <v>1163</v>
      </c>
      <c r="G5" s="361" t="s">
        <v>1164</v>
      </c>
      <c r="H5" s="363" t="s">
        <v>1165</v>
      </c>
      <c r="I5" s="847" t="s">
        <v>1841</v>
      </c>
      <c r="J5" s="847" t="s">
        <v>1842</v>
      </c>
      <c r="K5" s="847" t="s">
        <v>1843</v>
      </c>
    </row>
    <row r="6" spans="1:16">
      <c r="A6" s="408">
        <v>1</v>
      </c>
      <c r="B6" s="380" t="s">
        <v>1179</v>
      </c>
      <c r="C6" s="473">
        <v>3263.81</v>
      </c>
      <c r="D6" s="473">
        <v>3524.26</v>
      </c>
      <c r="E6" s="640">
        <v>4142.03</v>
      </c>
      <c r="F6" s="852"/>
      <c r="G6" s="852"/>
      <c r="H6" s="640">
        <f>D14</f>
        <v>3673.8529644413857</v>
      </c>
      <c r="I6" s="641">
        <f>H14</f>
        <v>4196.9961467219164</v>
      </c>
      <c r="J6" s="641">
        <f t="shared" ref="J6:K6" si="0">I14</f>
        <v>4848.0937722238195</v>
      </c>
      <c r="K6" s="641">
        <f t="shared" si="0"/>
        <v>5633.5090603191566</v>
      </c>
    </row>
    <row r="7" spans="1:16">
      <c r="A7" s="408">
        <v>2</v>
      </c>
      <c r="B7" s="380" t="s">
        <v>1180</v>
      </c>
      <c r="C7" s="779">
        <f>'F7-2'!C22+'F7-2'!C23</f>
        <v>1629.99</v>
      </c>
      <c r="D7" s="779">
        <f>'F7-1'!D12-'F7-1'!D16</f>
        <v>719.66556200000014</v>
      </c>
      <c r="E7" s="779"/>
      <c r="F7" s="782" t="e">
        <f>'F7-2'!#REF!</f>
        <v>#REF!</v>
      </c>
      <c r="G7" s="782" t="e">
        <f>'F7-2'!#REF!</f>
        <v>#REF!</v>
      </c>
      <c r="H7" s="782">
        <f>'F7-2'!F22+'F7-2'!F23+'F7-2'!F25</f>
        <v>1363.4958973999999</v>
      </c>
      <c r="I7" s="782">
        <f>'F7-2'!G22+'F7-2'!G23+'F7-2'!G25</f>
        <v>1513.0397620095564</v>
      </c>
      <c r="J7" s="782">
        <f>'F7-2'!H22+'F7-2'!H23+'F7-2'!H25</f>
        <v>1703.1372719999999</v>
      </c>
      <c r="K7" s="782">
        <f>'F7-2'!I22+'F7-2'!I23+'F7-2'!I25</f>
        <v>1903.8697424000002</v>
      </c>
    </row>
    <row r="8" spans="1:16">
      <c r="A8" s="408">
        <v>3</v>
      </c>
      <c r="B8" s="380" t="s">
        <v>1181</v>
      </c>
      <c r="C8" s="779">
        <f>'F7-2'!C49</f>
        <v>65.67</v>
      </c>
      <c r="D8" s="779">
        <f>'F7-2'!D49</f>
        <v>0</v>
      </c>
      <c r="E8" s="780"/>
      <c r="F8" s="782" t="e">
        <f>'F7-2'!#REF!</f>
        <v>#REF!</v>
      </c>
      <c r="G8" s="782" t="e">
        <f>'F7-2'!#REF!</f>
        <v>#REF!</v>
      </c>
      <c r="H8" s="779">
        <f>'F7-2'!F49</f>
        <v>68.86999999999999</v>
      </c>
      <c r="I8" s="779">
        <f>'F7-2'!G49</f>
        <v>0</v>
      </c>
      <c r="J8" s="779">
        <f>'F7-2'!H49</f>
        <v>0</v>
      </c>
      <c r="K8" s="779">
        <f>'F7-2'!I49</f>
        <v>0</v>
      </c>
    </row>
    <row r="9" spans="1:16" s="793" customFormat="1">
      <c r="A9" s="408">
        <v>4</v>
      </c>
      <c r="B9" s="380" t="s">
        <v>1829</v>
      </c>
      <c r="C9" s="779"/>
      <c r="D9" s="779">
        <f>'F7-2'!D50</f>
        <v>25.29</v>
      </c>
      <c r="E9" s="780"/>
      <c r="F9" s="782"/>
      <c r="G9" s="782"/>
      <c r="H9" s="779">
        <f>'F7-2'!F50</f>
        <v>126.44000000000003</v>
      </c>
      <c r="I9" s="779">
        <f>'F7-2'!G50</f>
        <v>79.540000000000006</v>
      </c>
      <c r="J9" s="779">
        <f>'F7-2'!H50</f>
        <v>0</v>
      </c>
      <c r="K9" s="779">
        <f>'F7-2'!I50</f>
        <v>0</v>
      </c>
    </row>
    <row r="10" spans="1:16">
      <c r="A10" s="408">
        <v>4</v>
      </c>
      <c r="B10" s="380" t="s">
        <v>1828</v>
      </c>
      <c r="C10" s="640">
        <f>(C7-C8)+0.03</f>
        <v>1564.35</v>
      </c>
      <c r="D10" s="640">
        <f>D7-D8-D9</f>
        <v>694.37556200000017</v>
      </c>
      <c r="E10" s="640">
        <f t="shared" ref="E10:G10" si="1">E7-E8</f>
        <v>0</v>
      </c>
      <c r="F10" s="640" t="e">
        <f t="shared" si="1"/>
        <v>#REF!</v>
      </c>
      <c r="G10" s="640" t="e">
        <f t="shared" si="1"/>
        <v>#REF!</v>
      </c>
      <c r="H10" s="640">
        <f>H7-H8-H9</f>
        <v>1168.1858973999999</v>
      </c>
      <c r="I10" s="640">
        <f t="shared" ref="I10:K10" si="2">I7-I8-I9</f>
        <v>1433.4997620095564</v>
      </c>
      <c r="J10" s="640">
        <f t="shared" si="2"/>
        <v>1703.1372719999999</v>
      </c>
      <c r="K10" s="640">
        <f t="shared" si="2"/>
        <v>1903.8697424000002</v>
      </c>
      <c r="L10" s="74" t="b">
        <f>H10=SUM(H11:H12,L11:L12)</f>
        <v>1</v>
      </c>
      <c r="M10" s="1104" t="b">
        <f t="shared" ref="M10:N10" si="3">I10=SUM(I11:I12,M11:M12)</f>
        <v>1</v>
      </c>
      <c r="N10" s="1104" t="b">
        <f t="shared" si="3"/>
        <v>1</v>
      </c>
    </row>
    <row r="11" spans="1:16" ht="31.5">
      <c r="A11" s="394">
        <v>5</v>
      </c>
      <c r="B11" s="384" t="s">
        <v>1194</v>
      </c>
      <c r="C11" s="640">
        <v>1235.1300000000001</v>
      </c>
      <c r="D11" s="473">
        <v>394</v>
      </c>
      <c r="E11" s="640">
        <v>1383.35</v>
      </c>
      <c r="F11" s="640" t="e">
        <f t="shared" ref="F11:G11" si="4">F10*70%</f>
        <v>#REF!</v>
      </c>
      <c r="G11" s="640" t="e">
        <f t="shared" si="4"/>
        <v>#REF!</v>
      </c>
      <c r="H11" s="640">
        <v>330.81719218000001</v>
      </c>
      <c r="I11" s="640">
        <v>51.94</v>
      </c>
      <c r="J11" s="640">
        <v>0</v>
      </c>
      <c r="K11" s="640">
        <v>0</v>
      </c>
      <c r="L11" s="1162">
        <f>'F10'!H27</f>
        <v>80.060225220000007</v>
      </c>
      <c r="M11" s="1162">
        <f>'F10'!I27</f>
        <v>22.259999999999998</v>
      </c>
      <c r="N11" s="1162">
        <f>'F10'!J27</f>
        <v>0</v>
      </c>
      <c r="P11" s="74">
        <f>'F10'!D27</f>
        <v>163.04</v>
      </c>
    </row>
    <row r="12" spans="1:16" ht="31.5">
      <c r="A12" s="394">
        <v>6</v>
      </c>
      <c r="B12" s="384" t="s">
        <v>1193</v>
      </c>
      <c r="C12" s="640"/>
      <c r="D12" s="640">
        <v>109.86</v>
      </c>
      <c r="E12" s="640"/>
      <c r="F12" s="640"/>
      <c r="G12" s="640"/>
      <c r="H12" s="640">
        <v>605.84678400000007</v>
      </c>
      <c r="I12" s="640">
        <v>1087.4398096076452</v>
      </c>
      <c r="J12" s="640">
        <v>1362.5098176000001</v>
      </c>
      <c r="K12" s="640">
        <v>1523.09579392</v>
      </c>
      <c r="L12" s="1162">
        <f>'F10'!H28</f>
        <v>151.46169600000002</v>
      </c>
      <c r="M12" s="1162">
        <f>'F10'!I28</f>
        <v>271.8599524019113</v>
      </c>
      <c r="N12" s="1162">
        <f>'F10'!J28</f>
        <v>340.62745440000003</v>
      </c>
      <c r="P12" s="1161">
        <f>'F10'!D28</f>
        <v>27.47</v>
      </c>
    </row>
    <row r="13" spans="1:16">
      <c r="A13" s="408">
        <v>7</v>
      </c>
      <c r="B13" s="380" t="s">
        <v>1182</v>
      </c>
      <c r="C13" s="473">
        <f>'F7-2'!C58</f>
        <v>330.48</v>
      </c>
      <c r="D13" s="473">
        <f>'F7-2'!D60</f>
        <v>354.26703555861457</v>
      </c>
      <c r="E13" s="473">
        <f>'F7-2'!E60</f>
        <v>456.82178199999998</v>
      </c>
      <c r="F13" s="473"/>
      <c r="G13" s="473"/>
      <c r="H13" s="473">
        <f>'F7-2'!F60</f>
        <v>413.52079389946869</v>
      </c>
      <c r="I13" s="473">
        <f>'F7-2'!G60</f>
        <v>488.28218410574107</v>
      </c>
      <c r="J13" s="473">
        <f>'F7-2'!H60</f>
        <v>577.09452950466289</v>
      </c>
      <c r="K13" s="473">
        <f>'F7-2'!I60</f>
        <v>676.34901130002538</v>
      </c>
    </row>
    <row r="14" spans="1:16">
      <c r="A14" s="408">
        <v>8</v>
      </c>
      <c r="B14" s="380" t="s">
        <v>1192</v>
      </c>
      <c r="C14" s="640">
        <f>(C6+C11+C12-C13)</f>
        <v>4168.4600000000009</v>
      </c>
      <c r="D14" s="640">
        <f>D6+D11+D12-D13</f>
        <v>3673.8529644413857</v>
      </c>
      <c r="E14" s="640">
        <f>E6+E11+E12-E13</f>
        <v>5068.5582179999992</v>
      </c>
      <c r="F14" s="640"/>
      <c r="G14" s="640"/>
      <c r="H14" s="640">
        <f>H6+H11+H12-H13</f>
        <v>4196.9961467219164</v>
      </c>
      <c r="I14" s="640">
        <f>I6+I11+I12-I13</f>
        <v>4848.0937722238195</v>
      </c>
      <c r="J14" s="640">
        <f t="shared" ref="J14:K14" si="5">J6+J11+J12-J13</f>
        <v>5633.5090603191566</v>
      </c>
      <c r="K14" s="640">
        <f t="shared" si="5"/>
        <v>6480.2558429391311</v>
      </c>
    </row>
    <row r="15" spans="1:16">
      <c r="A15" s="408">
        <v>9</v>
      </c>
      <c r="B15" s="380" t="s">
        <v>1183</v>
      </c>
      <c r="C15" s="640">
        <f>AVERAGE(C14,C6)-0.01</f>
        <v>3716.125</v>
      </c>
      <c r="D15" s="640">
        <f>AVERAGE(D14,D6)</f>
        <v>3599.0564822206929</v>
      </c>
      <c r="E15" s="640">
        <f>AVERAGE(E14,E6)</f>
        <v>4605.2941089999995</v>
      </c>
      <c r="F15" s="640"/>
      <c r="G15" s="640"/>
      <c r="H15" s="640">
        <f>AVERAGE(H14,H6)</f>
        <v>3935.424555581651</v>
      </c>
      <c r="I15" s="640">
        <f>AVERAGE(I14,I6)</f>
        <v>4522.544959472868</v>
      </c>
      <c r="J15" s="640">
        <f t="shared" ref="J15:K15" si="6">AVERAGE(J14,J6)</f>
        <v>5240.8014162714881</v>
      </c>
      <c r="K15" s="640">
        <f t="shared" si="6"/>
        <v>6056.8824516291443</v>
      </c>
    </row>
    <row r="16" spans="1:16">
      <c r="A16" s="408">
        <v>10</v>
      </c>
      <c r="B16" s="379" t="s">
        <v>1184</v>
      </c>
      <c r="C16" s="642">
        <v>0.105</v>
      </c>
      <c r="D16" s="642">
        <f>'Int Rate'!E8</f>
        <v>9.0996338663078186E-2</v>
      </c>
      <c r="E16" s="642">
        <v>9.0800000000000006E-2</v>
      </c>
      <c r="F16" s="1641"/>
      <c r="G16" s="1641"/>
      <c r="H16" s="642">
        <f>'Int Rate'!G8</f>
        <v>8.3659762729470233E-2</v>
      </c>
      <c r="I16" s="643">
        <f>H16</f>
        <v>8.3659762729470233E-2</v>
      </c>
      <c r="J16" s="643">
        <f t="shared" ref="J16:K16" si="7">I16</f>
        <v>8.3659762729470233E-2</v>
      </c>
      <c r="K16" s="643">
        <f t="shared" si="7"/>
        <v>8.3659762729470233E-2</v>
      </c>
    </row>
    <row r="17" spans="1:11">
      <c r="A17" s="470">
        <v>11</v>
      </c>
      <c r="B17" s="418" t="s">
        <v>1185</v>
      </c>
      <c r="C17" s="644">
        <f>C15*C16</f>
        <v>390.19312500000001</v>
      </c>
      <c r="D17" s="644">
        <f t="shared" ref="D17:K17" si="8">D15*D16</f>
        <v>327.50096252370099</v>
      </c>
      <c r="E17" s="644">
        <f>E15*E16-0.05</f>
        <v>418.11070509719997</v>
      </c>
      <c r="F17" s="644"/>
      <c r="G17" s="644"/>
      <c r="H17" s="644">
        <f>H15*H16</f>
        <v>329.23668455969175</v>
      </c>
      <c r="I17" s="644">
        <f t="shared" si="8"/>
        <v>378.35503824286172</v>
      </c>
      <c r="J17" s="644">
        <f t="shared" si="8"/>
        <v>438.44420299754427</v>
      </c>
      <c r="K17" s="644">
        <f t="shared" si="8"/>
        <v>506.71734878358615</v>
      </c>
    </row>
    <row r="18" spans="1:11">
      <c r="A18" s="471">
        <v>12</v>
      </c>
      <c r="B18" s="418" t="s">
        <v>1186</v>
      </c>
      <c r="C18" s="645">
        <v>0.01</v>
      </c>
      <c r="D18" s="645">
        <f>'[129]Sch P&amp;L 22-25'!$B$27/10^7</f>
        <v>1.228327524</v>
      </c>
      <c r="E18" s="645">
        <v>0</v>
      </c>
      <c r="F18" s="1649"/>
      <c r="G18" s="1649"/>
      <c r="H18" s="646">
        <f>D18</f>
        <v>1.228327524</v>
      </c>
      <c r="I18" s="645">
        <f>H18</f>
        <v>1.228327524</v>
      </c>
      <c r="J18" s="645">
        <f t="shared" ref="J18:K18" si="9">I18</f>
        <v>1.228327524</v>
      </c>
      <c r="K18" s="645">
        <f t="shared" si="9"/>
        <v>1.228327524</v>
      </c>
    </row>
    <row r="19" spans="1:11">
      <c r="A19" s="394">
        <v>13</v>
      </c>
      <c r="B19" s="398" t="s">
        <v>1187</v>
      </c>
      <c r="C19" s="641">
        <f>C17+C18</f>
        <v>390.203125</v>
      </c>
      <c r="D19" s="641">
        <f>D17+D18</f>
        <v>328.729290047701</v>
      </c>
      <c r="E19" s="641">
        <f t="shared" ref="E19:K19" si="10">E17+E18</f>
        <v>418.11070509719997</v>
      </c>
      <c r="F19" s="641"/>
      <c r="G19" s="641"/>
      <c r="H19" s="641">
        <f>H17+H18</f>
        <v>330.46501208369176</v>
      </c>
      <c r="I19" s="641">
        <f t="shared" si="10"/>
        <v>379.58336576686173</v>
      </c>
      <c r="J19" s="641">
        <f t="shared" si="10"/>
        <v>439.67253052154427</v>
      </c>
      <c r="K19" s="641">
        <f t="shared" si="10"/>
        <v>507.94567630758615</v>
      </c>
    </row>
    <row r="20" spans="1:11" ht="21" customHeight="1">
      <c r="A20" s="472"/>
      <c r="B20" s="295"/>
      <c r="C20" s="121"/>
      <c r="D20" s="121"/>
      <c r="E20" s="121"/>
      <c r="F20" s="121"/>
      <c r="G20" s="121"/>
      <c r="H20" s="121"/>
      <c r="I20" s="1156">
        <f>I11+I12</f>
        <v>1139.3798096076453</v>
      </c>
      <c r="J20" s="1156">
        <f t="shared" ref="J20:K20" si="11">J11+J12</f>
        <v>1362.5098176000001</v>
      </c>
      <c r="K20" s="1156">
        <f t="shared" si="11"/>
        <v>1523.09579392</v>
      </c>
    </row>
    <row r="21" spans="1:11" ht="21" customHeight="1">
      <c r="A21" s="472"/>
      <c r="B21" s="295"/>
      <c r="C21" s="295"/>
      <c r="D21" s="295"/>
      <c r="E21" s="295"/>
      <c r="F21" s="295"/>
      <c r="G21" s="295"/>
      <c r="H21" s="295"/>
      <c r="I21" s="295"/>
      <c r="J21" s="295"/>
      <c r="K21" s="295"/>
    </row>
    <row r="22" spans="1:11" ht="21" customHeight="1">
      <c r="E22" s="2003" t="s">
        <v>401</v>
      </c>
      <c r="F22" s="2003"/>
      <c r="G22" s="2003"/>
      <c r="H22" s="2003"/>
    </row>
    <row r="23" spans="1:11" ht="21" customHeight="1">
      <c r="D23" s="527"/>
      <c r="G23" s="360"/>
      <c r="H23" s="360"/>
    </row>
    <row r="24" spans="1:11" ht="21" hidden="1" customHeight="1">
      <c r="G24" s="360"/>
      <c r="H24" s="360"/>
    </row>
    <row r="25" spans="1:11" ht="21" hidden="1" customHeight="1">
      <c r="A25" s="468" t="s">
        <v>187</v>
      </c>
      <c r="B25" s="438"/>
      <c r="C25" s="438"/>
      <c r="D25" s="438"/>
      <c r="E25" s="438"/>
      <c r="F25" s="438"/>
      <c r="G25" s="438"/>
    </row>
    <row r="26" spans="1:11" ht="21" hidden="1" customHeight="1">
      <c r="A26" s="469">
        <v>1</v>
      </c>
      <c r="B26" s="440" t="s">
        <v>339</v>
      </c>
      <c r="C26" s="439" t="s">
        <v>372</v>
      </c>
      <c r="D26" s="441"/>
      <c r="E26" s="441"/>
      <c r="F26" s="441"/>
      <c r="G26" s="442"/>
    </row>
    <row r="27" spans="1:11" ht="21" hidden="1" customHeight="1">
      <c r="A27" s="469">
        <v>2</v>
      </c>
      <c r="B27" s="443" t="s">
        <v>343</v>
      </c>
      <c r="C27" s="439" t="s">
        <v>328</v>
      </c>
      <c r="D27" s="441"/>
      <c r="E27" s="441"/>
      <c r="F27" s="441"/>
      <c r="G27" s="442"/>
    </row>
    <row r="28" spans="1:11" ht="21" hidden="1" customHeight="1">
      <c r="A28" s="469">
        <v>3</v>
      </c>
      <c r="B28" s="443" t="s">
        <v>330</v>
      </c>
      <c r="C28" s="439" t="s">
        <v>328</v>
      </c>
      <c r="D28" s="441"/>
      <c r="E28" s="441"/>
      <c r="F28" s="441"/>
      <c r="G28" s="442"/>
    </row>
    <row r="29" spans="1:11" ht="21" hidden="1" customHeight="1">
      <c r="A29" s="469">
        <v>4</v>
      </c>
      <c r="B29" s="443" t="s">
        <v>331</v>
      </c>
      <c r="C29" s="439" t="s">
        <v>402</v>
      </c>
      <c r="D29" s="441"/>
      <c r="E29" s="441"/>
      <c r="F29" s="441"/>
      <c r="G29" s="442"/>
    </row>
    <row r="30" spans="1:11" ht="21" hidden="1" customHeight="1">
      <c r="A30" s="469">
        <v>5</v>
      </c>
      <c r="B30" s="443" t="s">
        <v>332</v>
      </c>
      <c r="C30" s="439"/>
      <c r="D30" s="441"/>
      <c r="E30" s="441"/>
      <c r="F30" s="441"/>
      <c r="G30" s="442"/>
    </row>
    <row r="31" spans="1:11" ht="21" hidden="1" customHeight="1"/>
  </sheetData>
  <mergeCells count="11">
    <mergeCell ref="I4:K4"/>
    <mergeCell ref="E22:H22"/>
    <mergeCell ref="A1:H1"/>
    <mergeCell ref="A2:B3"/>
    <mergeCell ref="G2:H2"/>
    <mergeCell ref="I2:K2"/>
    <mergeCell ref="F3:H3"/>
    <mergeCell ref="A4:A5"/>
    <mergeCell ref="B4:B5"/>
    <mergeCell ref="C4:D4"/>
    <mergeCell ref="E4:H4"/>
  </mergeCells>
  <pageMargins left="0.70866141732283472" right="0.70866141732283472" top="0.74803149606299213" bottom="0.74803149606299213" header="0.31496062992125984" footer="0.31496062992125984"/>
  <pageSetup paperSize="9" scale="4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B2:H39"/>
  <sheetViews>
    <sheetView showGridLines="0" topLeftCell="C1" workbookViewId="0">
      <selection activeCell="G12" sqref="G12"/>
    </sheetView>
  </sheetViews>
  <sheetFormatPr defaultRowHeight="15"/>
  <cols>
    <col min="3" max="3" width="32.85546875" bestFit="1" customWidth="1"/>
    <col min="4" max="4" width="16.42578125" customWidth="1"/>
    <col min="5" max="5" width="12.7109375" customWidth="1"/>
    <col min="6" max="6" width="14.7109375" customWidth="1"/>
    <col min="7" max="7" width="11.7109375" customWidth="1"/>
  </cols>
  <sheetData>
    <row r="2" spans="2:8">
      <c r="C2" s="278" t="s">
        <v>2012</v>
      </c>
    </row>
    <row r="4" spans="2:8">
      <c r="B4" s="277" t="s">
        <v>2256</v>
      </c>
      <c r="C4" s="969" t="s">
        <v>48</v>
      </c>
      <c r="D4" s="2048" t="s">
        <v>1108</v>
      </c>
      <c r="E4" s="2048"/>
      <c r="F4" s="2048" t="s">
        <v>1173</v>
      </c>
      <c r="G4" s="2048"/>
    </row>
    <row r="5" spans="2:8" ht="28.5" customHeight="1">
      <c r="B5" s="743" t="s">
        <v>158</v>
      </c>
      <c r="D5" s="1299" t="s">
        <v>2011</v>
      </c>
      <c r="E5" s="1299" t="s">
        <v>704</v>
      </c>
      <c r="F5" s="1299" t="s">
        <v>2011</v>
      </c>
      <c r="G5" s="1299" t="s">
        <v>704</v>
      </c>
    </row>
    <row r="6" spans="2:8">
      <c r="B6" s="56">
        <v>1</v>
      </c>
      <c r="C6" s="56" t="s">
        <v>2009</v>
      </c>
      <c r="D6" s="56">
        <f>'[128]Sch BS 13-19'!$C$52/10^7</f>
        <v>500</v>
      </c>
      <c r="E6" s="1125">
        <f>7.7%+0.1%</f>
        <v>7.8E-2</v>
      </c>
      <c r="F6" s="1115">
        <f>'[129]Sch BS 13-19'!$B$52/10^7</f>
        <v>1750</v>
      </c>
      <c r="G6" s="1125">
        <f>E6</f>
        <v>7.8E-2</v>
      </c>
      <c r="H6" s="1128"/>
    </row>
    <row r="7" spans="2:8">
      <c r="B7" s="56">
        <f>B6+1</f>
        <v>2</v>
      </c>
      <c r="C7" s="56" t="s">
        <v>2010</v>
      </c>
      <c r="D7" s="963">
        <f>'[128]Sch BS 13-19'!$C$50/10^7</f>
        <v>464.0335963</v>
      </c>
      <c r="E7" s="1126">
        <f>13%-2.5%</f>
        <v>0.10500000000000001</v>
      </c>
      <c r="F7" s="1127">
        <f>'[129]Sch BS 13-19'!$B$50/10^7</f>
        <v>464.12720960000001</v>
      </c>
      <c r="G7" s="1125">
        <f>E7</f>
        <v>0.10500000000000001</v>
      </c>
    </row>
    <row r="8" spans="2:8">
      <c r="B8" s="56"/>
      <c r="C8" s="278" t="s">
        <v>2012</v>
      </c>
      <c r="D8" s="963">
        <f>D7+D6</f>
        <v>964.0335963</v>
      </c>
      <c r="E8" s="1091">
        <f>(D6*E6+D7*E7)/SUM(D6,D7)</f>
        <v>9.0996338663078186E-2</v>
      </c>
      <c r="F8" s="963">
        <f>F7+F6</f>
        <v>2214.1272096000002</v>
      </c>
      <c r="G8" s="1091">
        <f>(F6*G6+F7*G7)/SUM(F6,F7)</f>
        <v>8.3659762729470233E-2</v>
      </c>
    </row>
    <row r="10" spans="2:8">
      <c r="E10" s="354"/>
      <c r="F10" s="1079"/>
    </row>
    <row r="12" spans="2:8">
      <c r="E12" s="970"/>
    </row>
    <row r="13" spans="2:8">
      <c r="D13" s="786"/>
      <c r="E13" s="354"/>
      <c r="G13" s="354"/>
    </row>
    <row r="14" spans="2:8">
      <c r="D14" s="786"/>
      <c r="G14" s="354"/>
    </row>
    <row r="15" spans="2:8">
      <c r="D15" s="786"/>
      <c r="G15" s="354"/>
    </row>
    <row r="16" spans="2:8">
      <c r="D16" s="786"/>
      <c r="G16" s="354"/>
    </row>
    <row r="17" spans="4:7">
      <c r="D17" s="786"/>
      <c r="G17" s="354"/>
    </row>
    <row r="18" spans="4:7">
      <c r="D18" s="786"/>
      <c r="G18" s="354"/>
    </row>
    <row r="19" spans="4:7">
      <c r="D19" s="786"/>
      <c r="G19" s="354"/>
    </row>
    <row r="20" spans="4:7">
      <c r="D20" s="786"/>
      <c r="G20" s="354"/>
    </row>
    <row r="21" spans="4:7">
      <c r="D21" s="786"/>
      <c r="G21" s="354"/>
    </row>
    <row r="22" spans="4:7">
      <c r="D22" s="786"/>
      <c r="G22" s="354"/>
    </row>
    <row r="23" spans="4:7">
      <c r="D23" s="786"/>
      <c r="G23" s="354"/>
    </row>
    <row r="24" spans="4:7">
      <c r="D24" s="786"/>
      <c r="G24" s="354"/>
    </row>
    <row r="25" spans="4:7">
      <c r="D25" s="786"/>
      <c r="G25" s="354"/>
    </row>
    <row r="26" spans="4:7">
      <c r="D26" s="786"/>
      <c r="G26" s="354"/>
    </row>
    <row r="27" spans="4:7">
      <c r="D27" s="786"/>
      <c r="G27" s="354"/>
    </row>
    <row r="28" spans="4:7">
      <c r="D28" s="786"/>
      <c r="G28" s="354"/>
    </row>
    <row r="29" spans="4:7">
      <c r="D29" s="786"/>
      <c r="G29" s="354"/>
    </row>
    <row r="30" spans="4:7">
      <c r="D30" s="786"/>
    </row>
    <row r="39" s="277" customFormat="1"/>
  </sheetData>
  <mergeCells count="2">
    <mergeCell ref="D4:E4"/>
    <mergeCell ref="F4:G4"/>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60"/>
  <sheetViews>
    <sheetView showGridLines="0" view="pageBreakPreview" zoomScale="80" zoomScaleNormal="85" zoomScaleSheetLayoutView="80" workbookViewId="0">
      <pane xSplit="2" ySplit="1" topLeftCell="C2" activePane="bottomRight" state="frozen"/>
      <selection pane="topRight" activeCell="C1" sqref="C1"/>
      <selection pane="bottomLeft" activeCell="A2" sqref="A2"/>
      <selection pane="bottomRight" activeCell="H2" sqref="H2"/>
    </sheetView>
  </sheetViews>
  <sheetFormatPr defaultColWidth="9.140625" defaultRowHeight="15"/>
  <cols>
    <col min="1" max="1" width="6.42578125" style="749" customWidth="1"/>
    <col min="2" max="2" width="35.28515625" style="749" customWidth="1"/>
    <col min="3" max="3" width="14.7109375" style="749" customWidth="1"/>
    <col min="4" max="4" width="11.7109375" style="749" bestFit="1" customWidth="1"/>
    <col min="5" max="5" width="15.85546875" style="749" customWidth="1"/>
    <col min="6" max="6" width="12.7109375" style="749" customWidth="1"/>
    <col min="7" max="7" width="14.28515625" style="749" bestFit="1" customWidth="1"/>
    <col min="8" max="8" width="12.85546875" style="749" bestFit="1" customWidth="1"/>
    <col min="9" max="9" width="16.42578125" style="749" bestFit="1" customWidth="1"/>
    <col min="10" max="10" width="9.140625" style="749"/>
    <col min="11" max="11" width="7.5703125" style="749" customWidth="1"/>
    <col min="12" max="12" width="10.42578125" style="749" customWidth="1"/>
    <col min="13" max="13" width="9.7109375" style="749" customWidth="1"/>
    <col min="14" max="16384" width="9.140625" style="749"/>
  </cols>
  <sheetData>
    <row r="1" spans="1:14" ht="21" customHeight="1">
      <c r="A1" s="1914" t="s">
        <v>1158</v>
      </c>
      <c r="B1" s="1914"/>
      <c r="C1" s="1914"/>
      <c r="D1" s="1914"/>
      <c r="E1" s="1914"/>
      <c r="F1" s="1914"/>
      <c r="G1" s="1914"/>
      <c r="H1" s="1914"/>
      <c r="I1" s="1914"/>
      <c r="J1" s="748"/>
      <c r="K1" s="748"/>
      <c r="L1" s="748"/>
      <c r="M1" s="748"/>
      <c r="N1" s="748"/>
    </row>
    <row r="2" spans="1:14" s="752" customFormat="1" ht="21" customHeight="1">
      <c r="A2" s="227" t="s">
        <v>898</v>
      </c>
      <c r="B2" s="227"/>
      <c r="C2" s="227" t="s">
        <v>920</v>
      </c>
      <c r="D2" s="227"/>
      <c r="E2" s="227"/>
      <c r="F2" s="227"/>
      <c r="G2" s="227"/>
      <c r="H2" s="227"/>
      <c r="I2" s="1309" t="s">
        <v>862</v>
      </c>
      <c r="J2" s="750"/>
      <c r="K2" s="750"/>
      <c r="L2" s="750"/>
      <c r="M2" s="750"/>
    </row>
    <row r="3" spans="1:14" s="752" customFormat="1" ht="50.25" customHeight="1">
      <c r="A3" s="1310" t="s">
        <v>623</v>
      </c>
      <c r="B3" s="1310" t="s">
        <v>48</v>
      </c>
      <c r="C3" s="1311" t="s">
        <v>692</v>
      </c>
      <c r="D3" s="1311" t="s">
        <v>703</v>
      </c>
      <c r="E3" s="1311" t="s">
        <v>704</v>
      </c>
      <c r="F3" s="1311" t="s">
        <v>705</v>
      </c>
      <c r="G3" s="1311" t="s">
        <v>706</v>
      </c>
      <c r="H3" s="1311" t="s">
        <v>707</v>
      </c>
      <c r="I3" s="1311" t="s">
        <v>708</v>
      </c>
      <c r="J3" s="750"/>
      <c r="K3" s="750"/>
      <c r="L3" s="750"/>
      <c r="M3" s="750"/>
      <c r="N3" s="751"/>
    </row>
    <row r="4" spans="1:14" s="752" customFormat="1" ht="21" customHeight="1">
      <c r="A4" s="1312"/>
      <c r="B4" s="1312">
        <v>1</v>
      </c>
      <c r="C4" s="1313">
        <v>2</v>
      </c>
      <c r="D4" s="1312">
        <v>3</v>
      </c>
      <c r="E4" s="1312">
        <v>4</v>
      </c>
      <c r="F4" s="1312">
        <v>5</v>
      </c>
      <c r="G4" s="1312">
        <v>6</v>
      </c>
      <c r="H4" s="1312">
        <v>7</v>
      </c>
      <c r="I4" s="1312">
        <v>8</v>
      </c>
      <c r="J4" s="750"/>
      <c r="K4" s="750"/>
      <c r="L4" s="750"/>
      <c r="M4" s="750"/>
      <c r="N4" s="751"/>
    </row>
    <row r="5" spans="1:14" s="752" customFormat="1" ht="29.25" customHeight="1">
      <c r="A5" s="1314">
        <v>1</v>
      </c>
      <c r="B5" s="1314" t="s">
        <v>919</v>
      </c>
      <c r="C5" s="1315" t="s">
        <v>915</v>
      </c>
      <c r="D5" s="1316">
        <f>'[129]Sch BS 13-19'!$C$52/10^7</f>
        <v>500</v>
      </c>
      <c r="E5" s="1255" t="s">
        <v>2281</v>
      </c>
      <c r="F5" s="1316">
        <f>H5-D5</f>
        <v>1250</v>
      </c>
      <c r="G5" s="1314">
        <v>0</v>
      </c>
      <c r="H5" s="1316">
        <f>'[129]Sch BS 13-19'!$B$52/10^7</f>
        <v>1750</v>
      </c>
      <c r="I5" s="1314"/>
      <c r="J5" s="750"/>
      <c r="K5" s="750"/>
      <c r="L5" s="750"/>
      <c r="M5" s="750"/>
      <c r="N5" s="751"/>
    </row>
    <row r="6" spans="1:14" s="752" customFormat="1" ht="29.25" customHeight="1">
      <c r="A6" s="1314">
        <v>2</v>
      </c>
      <c r="B6" s="1314" t="s">
        <v>916</v>
      </c>
      <c r="C6" s="1315" t="s">
        <v>915</v>
      </c>
      <c r="D6" s="1317">
        <f>'[129]Sch BS 13-19'!$C$50/10^7</f>
        <v>464.0335963</v>
      </c>
      <c r="E6" s="1321">
        <v>10.5</v>
      </c>
      <c r="F6" s="1316">
        <f>H6-D6</f>
        <v>9.3613300000015442E-2</v>
      </c>
      <c r="G6" s="1314">
        <v>0</v>
      </c>
      <c r="H6" s="1316">
        <f>'[129]Sch BS 13-19'!$B$50/10^7</f>
        <v>464.12720960000001</v>
      </c>
      <c r="I6" s="1314"/>
      <c r="J6" s="750"/>
      <c r="K6" s="750"/>
      <c r="L6" s="750"/>
      <c r="M6" s="750"/>
      <c r="N6" s="751"/>
    </row>
    <row r="7" spans="1:14" s="752" customFormat="1" ht="21" customHeight="1">
      <c r="A7" s="1318"/>
      <c r="B7" s="1318"/>
      <c r="C7" s="1319"/>
      <c r="D7" s="1318"/>
      <c r="E7" s="1318"/>
      <c r="F7" s="1318"/>
      <c r="G7" s="1318"/>
      <c r="H7" s="1320">
        <f>SUM(H5:H6)</f>
        <v>2214.1272096000002</v>
      </c>
      <c r="I7" s="1318"/>
      <c r="J7" s="750"/>
      <c r="K7" s="750"/>
      <c r="L7" s="750"/>
      <c r="M7" s="750"/>
      <c r="N7" s="751"/>
    </row>
    <row r="8" spans="1:14" s="752" customFormat="1" ht="21" customHeight="1">
      <c r="A8" s="227" t="s">
        <v>918</v>
      </c>
      <c r="B8" s="227"/>
      <c r="C8" s="227" t="s">
        <v>923</v>
      </c>
      <c r="D8" s="227"/>
      <c r="E8" s="227"/>
      <c r="F8" s="227"/>
      <c r="G8" s="227"/>
      <c r="H8" s="227"/>
      <c r="I8" s="1309"/>
      <c r="J8" s="750"/>
      <c r="K8" s="750"/>
      <c r="L8" s="750"/>
      <c r="M8" s="750"/>
      <c r="N8" s="751"/>
    </row>
    <row r="9" spans="1:14" s="752" customFormat="1" ht="27.75" customHeight="1">
      <c r="A9" s="1310" t="s">
        <v>623</v>
      </c>
      <c r="B9" s="1310" t="s">
        <v>48</v>
      </c>
      <c r="C9" s="1311" t="s">
        <v>692</v>
      </c>
      <c r="D9" s="1311" t="s">
        <v>703</v>
      </c>
      <c r="E9" s="1311" t="s">
        <v>704</v>
      </c>
      <c r="F9" s="1311" t="s">
        <v>705</v>
      </c>
      <c r="G9" s="1311" t="s">
        <v>706</v>
      </c>
      <c r="H9" s="1311" t="s">
        <v>707</v>
      </c>
      <c r="I9" s="1311" t="s">
        <v>708</v>
      </c>
      <c r="J9" s="750"/>
      <c r="K9" s="750"/>
    </row>
    <row r="10" spans="1:14" s="752" customFormat="1" ht="21" customHeight="1">
      <c r="A10" s="1312"/>
      <c r="B10" s="1312">
        <v>1</v>
      </c>
      <c r="C10" s="1313">
        <v>2</v>
      </c>
      <c r="D10" s="1312">
        <v>3</v>
      </c>
      <c r="E10" s="1312">
        <v>4</v>
      </c>
      <c r="F10" s="1312">
        <v>5</v>
      </c>
      <c r="G10" s="1312">
        <v>6</v>
      </c>
      <c r="H10" s="1312">
        <v>7</v>
      </c>
      <c r="I10" s="1312">
        <v>8</v>
      </c>
      <c r="J10" s="750"/>
      <c r="K10" s="750"/>
      <c r="L10" s="750"/>
      <c r="M10" s="750"/>
      <c r="N10" s="751"/>
    </row>
    <row r="11" spans="1:14" s="752" customFormat="1" ht="40.5" customHeight="1">
      <c r="A11" s="1314">
        <v>1</v>
      </c>
      <c r="B11" s="1314" t="s">
        <v>916</v>
      </c>
      <c r="C11" s="1315" t="s">
        <v>915</v>
      </c>
      <c r="D11" s="1322">
        <f>H6</f>
        <v>464.12720960000001</v>
      </c>
      <c r="E11" s="1321">
        <v>10.5</v>
      </c>
      <c r="F11" s="1314">
        <v>0</v>
      </c>
      <c r="G11" s="1314">
        <v>0</v>
      </c>
      <c r="H11" s="1316">
        <f>+D11+F11</f>
        <v>464.12720960000001</v>
      </c>
      <c r="I11" s="1314"/>
      <c r="J11" s="750"/>
      <c r="K11" s="750"/>
      <c r="L11" s="750"/>
      <c r="M11" s="750"/>
      <c r="N11" s="751"/>
    </row>
    <row r="12" spans="1:14" s="752" customFormat="1" ht="32.25" customHeight="1">
      <c r="A12" s="1314">
        <v>2</v>
      </c>
      <c r="B12" s="1314" t="s">
        <v>919</v>
      </c>
      <c r="C12" s="1315" t="s">
        <v>915</v>
      </c>
      <c r="D12" s="1316">
        <f>H5</f>
        <v>1750</v>
      </c>
      <c r="E12" s="1323" t="s">
        <v>2281</v>
      </c>
      <c r="F12" s="1314">
        <v>0</v>
      </c>
      <c r="G12" s="1314">
        <v>0</v>
      </c>
      <c r="H12" s="1317">
        <f>+D12+F12</f>
        <v>1750</v>
      </c>
      <c r="I12" s="1314"/>
      <c r="J12" s="750"/>
      <c r="K12" s="750"/>
      <c r="L12" s="750"/>
      <c r="M12" s="750"/>
      <c r="N12" s="751"/>
    </row>
    <row r="13" spans="1:14" s="752" customFormat="1" ht="21" customHeight="1">
      <c r="A13" s="1318"/>
      <c r="B13" s="1318"/>
      <c r="C13" s="1319"/>
      <c r="D13" s="1318"/>
      <c r="E13" s="1318"/>
      <c r="F13" s="1318"/>
      <c r="G13" s="1318"/>
      <c r="H13" s="1320">
        <f>SUM(H11:H12)</f>
        <v>2214.1272096000002</v>
      </c>
      <c r="I13" s="1318"/>
      <c r="J13" s="750"/>
      <c r="K13" s="750"/>
      <c r="L13" s="750"/>
      <c r="M13" s="750"/>
      <c r="N13" s="751"/>
    </row>
    <row r="14" spans="1:14" s="752" customFormat="1" ht="21" customHeight="1">
      <c r="A14" s="1318"/>
      <c r="B14" s="1318"/>
      <c r="C14" s="1319"/>
      <c r="D14" s="1318"/>
      <c r="E14" s="1318"/>
      <c r="F14" s="1318"/>
      <c r="G14" s="1318"/>
      <c r="H14" s="1318"/>
      <c r="I14" s="1318"/>
      <c r="J14" s="750"/>
      <c r="K14" s="750"/>
      <c r="L14" s="750"/>
      <c r="M14" s="750"/>
      <c r="N14" s="751"/>
    </row>
    <row r="15" spans="1:14" s="752" customFormat="1" ht="21" customHeight="1">
      <c r="A15" s="227" t="s">
        <v>921</v>
      </c>
      <c r="B15" s="227"/>
      <c r="C15" s="227" t="s">
        <v>2282</v>
      </c>
      <c r="D15" s="227"/>
      <c r="E15" s="227"/>
      <c r="F15" s="227"/>
      <c r="G15" s="227"/>
      <c r="H15" s="227"/>
      <c r="I15" s="1309"/>
      <c r="J15" s="750"/>
      <c r="K15" s="750"/>
      <c r="L15" s="750"/>
      <c r="M15" s="750"/>
      <c r="N15" s="751"/>
    </row>
    <row r="16" spans="1:14" s="752" customFormat="1" ht="44.25" customHeight="1">
      <c r="A16" s="1310" t="s">
        <v>623</v>
      </c>
      <c r="B16" s="1310" t="s">
        <v>48</v>
      </c>
      <c r="C16" s="1311" t="s">
        <v>692</v>
      </c>
      <c r="D16" s="1311" t="s">
        <v>703</v>
      </c>
      <c r="E16" s="1311" t="s">
        <v>704</v>
      </c>
      <c r="F16" s="1311" t="s">
        <v>705</v>
      </c>
      <c r="G16" s="1311" t="s">
        <v>706</v>
      </c>
      <c r="H16" s="1311" t="s">
        <v>707</v>
      </c>
      <c r="I16" s="1311" t="s">
        <v>708</v>
      </c>
      <c r="J16" s="750"/>
      <c r="K16" s="750"/>
      <c r="L16" s="750"/>
      <c r="M16" s="750"/>
      <c r="N16" s="751"/>
    </row>
    <row r="17" spans="1:14" s="752" customFormat="1" ht="21" customHeight="1">
      <c r="A17" s="1312"/>
      <c r="B17" s="1312">
        <v>1</v>
      </c>
      <c r="C17" s="1313">
        <v>2</v>
      </c>
      <c r="D17" s="1312">
        <v>3</v>
      </c>
      <c r="E17" s="1312">
        <v>4</v>
      </c>
      <c r="F17" s="1312">
        <v>5</v>
      </c>
      <c r="G17" s="1312">
        <v>6</v>
      </c>
      <c r="H17" s="1312">
        <v>7</v>
      </c>
      <c r="I17" s="1312">
        <v>8</v>
      </c>
      <c r="J17" s="750"/>
      <c r="K17" s="750"/>
      <c r="L17" s="750"/>
      <c r="M17" s="750"/>
      <c r="N17" s="751"/>
    </row>
    <row r="18" spans="1:14" s="752" customFormat="1" ht="30">
      <c r="A18" s="1314">
        <v>1</v>
      </c>
      <c r="B18" s="1314" t="s">
        <v>916</v>
      </c>
      <c r="C18" s="1315" t="s">
        <v>915</v>
      </c>
      <c r="D18" s="1316"/>
      <c r="E18" s="1321"/>
      <c r="F18" s="1316"/>
      <c r="G18" s="1314"/>
      <c r="H18" s="1316"/>
      <c r="I18" s="1314"/>
      <c r="J18" s="750"/>
      <c r="K18" s="750"/>
      <c r="L18" s="750"/>
      <c r="M18" s="750"/>
      <c r="N18" s="751"/>
    </row>
    <row r="19" spans="1:14" s="752" customFormat="1" ht="30">
      <c r="A19" s="1314">
        <v>2</v>
      </c>
      <c r="B19" s="1314" t="s">
        <v>919</v>
      </c>
      <c r="C19" s="1315" t="s">
        <v>915</v>
      </c>
      <c r="D19" s="1316"/>
      <c r="E19" s="1314"/>
      <c r="F19" s="1314"/>
      <c r="G19" s="1314"/>
      <c r="H19" s="1316"/>
      <c r="I19" s="1314"/>
      <c r="J19" s="750"/>
      <c r="K19" s="750"/>
      <c r="L19" s="750"/>
      <c r="M19" s="750"/>
      <c r="N19" s="751"/>
    </row>
    <row r="20" spans="1:14" s="752" customFormat="1" ht="21" customHeight="1">
      <c r="A20" s="1318"/>
      <c r="B20" s="1318"/>
      <c r="C20" s="1319"/>
      <c r="D20" s="1318"/>
      <c r="E20" s="1318"/>
      <c r="F20" s="1318"/>
      <c r="G20" s="1318"/>
      <c r="H20" s="1320"/>
      <c r="I20" s="1318"/>
      <c r="J20" s="750"/>
      <c r="K20" s="750"/>
      <c r="L20" s="750"/>
      <c r="M20" s="750"/>
      <c r="N20" s="751"/>
    </row>
    <row r="21" spans="1:14" s="752" customFormat="1" ht="21" customHeight="1">
      <c r="A21" s="1318"/>
      <c r="B21" s="1318"/>
      <c r="C21" s="1319"/>
      <c r="D21" s="1318"/>
      <c r="E21" s="1318"/>
      <c r="F21" s="1318"/>
      <c r="G21" s="1318"/>
      <c r="H21" s="1318"/>
      <c r="I21" s="1318"/>
      <c r="J21" s="750"/>
      <c r="K21" s="750"/>
      <c r="L21" s="750"/>
      <c r="M21" s="750"/>
      <c r="N21" s="751"/>
    </row>
    <row r="22" spans="1:14" s="752" customFormat="1" ht="21" customHeight="1">
      <c r="A22" s="227" t="s">
        <v>922</v>
      </c>
      <c r="B22" s="227"/>
      <c r="C22" s="227" t="s">
        <v>2283</v>
      </c>
      <c r="D22" s="227"/>
      <c r="E22" s="227"/>
      <c r="F22" s="227"/>
      <c r="G22" s="227"/>
      <c r="H22" s="227"/>
      <c r="I22" s="1309"/>
      <c r="J22" s="750"/>
      <c r="K22" s="750"/>
      <c r="L22" s="750"/>
      <c r="M22" s="750"/>
      <c r="N22" s="751"/>
    </row>
    <row r="23" spans="1:14" s="752" customFormat="1" ht="45">
      <c r="A23" s="1310" t="s">
        <v>623</v>
      </c>
      <c r="B23" s="1310" t="s">
        <v>48</v>
      </c>
      <c r="C23" s="1311" t="s">
        <v>692</v>
      </c>
      <c r="D23" s="1311" t="s">
        <v>703</v>
      </c>
      <c r="E23" s="1311" t="s">
        <v>704</v>
      </c>
      <c r="F23" s="1311" t="s">
        <v>705</v>
      </c>
      <c r="G23" s="1311" t="s">
        <v>706</v>
      </c>
      <c r="H23" s="1311" t="s">
        <v>707</v>
      </c>
      <c r="I23" s="1311" t="s">
        <v>708</v>
      </c>
      <c r="J23" s="750"/>
      <c r="K23" s="750"/>
      <c r="L23" s="750"/>
      <c r="M23" s="750"/>
      <c r="N23" s="751"/>
    </row>
    <row r="24" spans="1:14" s="752" customFormat="1" ht="21" customHeight="1">
      <c r="A24" s="1312"/>
      <c r="B24" s="1312">
        <v>1</v>
      </c>
      <c r="C24" s="1313">
        <v>2</v>
      </c>
      <c r="D24" s="1312">
        <v>3</v>
      </c>
      <c r="E24" s="1312">
        <v>4</v>
      </c>
      <c r="F24" s="1312">
        <v>5</v>
      </c>
      <c r="G24" s="1312">
        <v>6</v>
      </c>
      <c r="H24" s="1312">
        <v>7</v>
      </c>
      <c r="I24" s="1312">
        <v>8</v>
      </c>
      <c r="J24" s="750"/>
      <c r="K24" s="750"/>
      <c r="L24" s="750"/>
      <c r="M24" s="750"/>
      <c r="N24" s="751"/>
    </row>
    <row r="25" spans="1:14" s="752" customFormat="1" ht="30">
      <c r="A25" s="1314">
        <v>1</v>
      </c>
      <c r="B25" s="1314" t="s">
        <v>917</v>
      </c>
      <c r="C25" s="1315" t="s">
        <v>915</v>
      </c>
      <c r="D25" s="1316"/>
      <c r="E25" s="1321"/>
      <c r="F25" s="1316"/>
      <c r="G25" s="1314"/>
      <c r="H25" s="1316"/>
      <c r="I25" s="1314"/>
      <c r="J25" s="750"/>
      <c r="K25" s="750"/>
      <c r="L25" s="750"/>
      <c r="M25" s="750"/>
      <c r="N25" s="751"/>
    </row>
    <row r="26" spans="1:14" s="752" customFormat="1" ht="30">
      <c r="A26" s="1314">
        <v>2</v>
      </c>
      <c r="B26" s="1314" t="s">
        <v>247</v>
      </c>
      <c r="C26" s="1315" t="s">
        <v>915</v>
      </c>
      <c r="D26" s="1316"/>
      <c r="E26" s="1314"/>
      <c r="F26" s="1314"/>
      <c r="G26" s="1314"/>
      <c r="H26" s="1316"/>
      <c r="I26" s="1314"/>
      <c r="J26" s="750"/>
      <c r="K26" s="750"/>
      <c r="L26" s="753"/>
      <c r="M26" s="750"/>
      <c r="N26" s="751"/>
    </row>
    <row r="27" spans="1:14" s="752" customFormat="1" ht="21" customHeight="1">
      <c r="A27" s="1318"/>
      <c r="B27" s="1318"/>
      <c r="C27" s="1319"/>
      <c r="D27" s="1318"/>
      <c r="E27" s="1318"/>
      <c r="F27" s="1318"/>
      <c r="G27" s="1318"/>
      <c r="H27" s="1320"/>
      <c r="I27" s="1318"/>
      <c r="J27" s="750"/>
      <c r="K27" s="750"/>
      <c r="L27" s="750"/>
      <c r="M27" s="750"/>
      <c r="N27" s="751"/>
    </row>
    <row r="28" spans="1:14" s="752" customFormat="1" ht="21" customHeight="1">
      <c r="A28" s="227" t="s">
        <v>2284</v>
      </c>
      <c r="B28" s="227"/>
      <c r="C28" s="227" t="s">
        <v>2285</v>
      </c>
      <c r="D28" s="227"/>
      <c r="E28" s="227"/>
      <c r="F28" s="227"/>
      <c r="G28" s="227"/>
      <c r="H28" s="227"/>
      <c r="I28" s="1309"/>
      <c r="J28" s="750"/>
      <c r="K28" s="750"/>
      <c r="L28" s="750"/>
      <c r="M28" s="750"/>
      <c r="N28" s="751"/>
    </row>
    <row r="29" spans="1:14" s="752" customFormat="1" ht="45">
      <c r="A29" s="1310" t="s">
        <v>623</v>
      </c>
      <c r="B29" s="1310" t="s">
        <v>48</v>
      </c>
      <c r="C29" s="1311" t="s">
        <v>692</v>
      </c>
      <c r="D29" s="1311" t="s">
        <v>703</v>
      </c>
      <c r="E29" s="1311" t="s">
        <v>704</v>
      </c>
      <c r="F29" s="1311" t="s">
        <v>705</v>
      </c>
      <c r="G29" s="1311" t="s">
        <v>706</v>
      </c>
      <c r="H29" s="1311" t="s">
        <v>707</v>
      </c>
      <c r="I29" s="1311" t="s">
        <v>708</v>
      </c>
      <c r="J29" s="750"/>
      <c r="K29" s="750"/>
      <c r="L29" s="750"/>
      <c r="M29" s="750"/>
      <c r="N29" s="751"/>
    </row>
    <row r="30" spans="1:14" s="752" customFormat="1" ht="21" customHeight="1">
      <c r="A30" s="1312"/>
      <c r="B30" s="1312">
        <v>1</v>
      </c>
      <c r="C30" s="1313">
        <v>2</v>
      </c>
      <c r="D30" s="1312">
        <v>3</v>
      </c>
      <c r="E30" s="1312">
        <v>4</v>
      </c>
      <c r="F30" s="1312">
        <v>5</v>
      </c>
      <c r="G30" s="1312">
        <v>6</v>
      </c>
      <c r="H30" s="1312">
        <v>7</v>
      </c>
      <c r="I30" s="1312">
        <v>8</v>
      </c>
      <c r="J30" s="750"/>
      <c r="K30" s="750"/>
      <c r="L30" s="750"/>
      <c r="M30" s="750"/>
      <c r="N30" s="751"/>
    </row>
    <row r="31" spans="1:14" s="752" customFormat="1" ht="30">
      <c r="A31" s="1314">
        <v>1</v>
      </c>
      <c r="B31" s="1314" t="s">
        <v>917</v>
      </c>
      <c r="C31" s="1315" t="s">
        <v>915</v>
      </c>
      <c r="D31" s="1316"/>
      <c r="E31" s="1321"/>
      <c r="F31" s="1316"/>
      <c r="G31" s="1314"/>
      <c r="H31" s="1316"/>
      <c r="I31" s="1314"/>
      <c r="J31" s="750"/>
      <c r="K31" s="750"/>
      <c r="L31" s="750"/>
      <c r="M31" s="750"/>
      <c r="N31" s="751"/>
    </row>
    <row r="32" spans="1:14" s="752" customFormat="1" ht="30">
      <c r="A32" s="1314">
        <v>2</v>
      </c>
      <c r="B32" s="1314" t="s">
        <v>247</v>
      </c>
      <c r="C32" s="1315" t="s">
        <v>915</v>
      </c>
      <c r="D32" s="1316"/>
      <c r="E32" s="1314"/>
      <c r="F32" s="1314"/>
      <c r="G32" s="1314"/>
      <c r="H32" s="1316"/>
      <c r="I32" s="1314"/>
      <c r="J32" s="750"/>
      <c r="K32" s="750"/>
      <c r="L32" s="753"/>
      <c r="M32" s="750"/>
      <c r="N32" s="751"/>
    </row>
    <row r="33" spans="1:14" s="752" customFormat="1" ht="21" customHeight="1">
      <c r="A33" s="161" t="s">
        <v>694</v>
      </c>
      <c r="B33" s="1318"/>
      <c r="C33" s="1319"/>
      <c r="D33" s="1318"/>
      <c r="E33" s="1318"/>
      <c r="F33" s="1318"/>
      <c r="G33" s="1318"/>
      <c r="H33" s="1318"/>
      <c r="I33" s="1318"/>
      <c r="J33" s="750"/>
      <c r="K33" s="750"/>
      <c r="L33" s="750"/>
      <c r="M33" s="750"/>
      <c r="N33" s="751"/>
    </row>
    <row r="34" spans="1:14" s="752" customFormat="1">
      <c r="A34" s="119"/>
      <c r="B34" s="227"/>
      <c r="C34" s="227"/>
      <c r="D34" s="227"/>
      <c r="E34" s="227"/>
      <c r="F34" s="227"/>
      <c r="G34" s="227"/>
      <c r="H34" s="227"/>
      <c r="I34" s="227"/>
      <c r="J34" s="750"/>
      <c r="K34" s="750"/>
      <c r="L34" s="750"/>
      <c r="M34" s="750"/>
      <c r="N34" s="751"/>
    </row>
    <row r="35" spans="1:14">
      <c r="A35" s="2050" t="s">
        <v>899</v>
      </c>
      <c r="B35" s="2050"/>
      <c r="C35" s="2050"/>
      <c r="D35" s="2050"/>
      <c r="E35" s="2050"/>
      <c r="F35" s="2050"/>
      <c r="G35" s="2050"/>
      <c r="H35" s="2050"/>
      <c r="I35" s="2050"/>
    </row>
    <row r="36" spans="1:14" ht="47.25" customHeight="1">
      <c r="A36" s="1310" t="s">
        <v>623</v>
      </c>
      <c r="B36" s="1259" t="s">
        <v>48</v>
      </c>
      <c r="C36" s="1310"/>
      <c r="D36" s="1310"/>
      <c r="E36" s="1310"/>
      <c r="F36" s="1324" t="s">
        <v>199</v>
      </c>
      <c r="G36" s="1324" t="s">
        <v>200</v>
      </c>
      <c r="H36" s="1324" t="s">
        <v>201</v>
      </c>
      <c r="I36" s="1246" t="s">
        <v>693</v>
      </c>
      <c r="J36" s="754"/>
      <c r="K36" s="755"/>
      <c r="L36" s="755"/>
      <c r="M36" s="755"/>
      <c r="N36" s="754"/>
    </row>
    <row r="37" spans="1:14">
      <c r="A37" s="100"/>
      <c r="B37" s="102" t="s">
        <v>687</v>
      </c>
      <c r="C37" s="2053" t="s">
        <v>931</v>
      </c>
      <c r="D37" s="2054"/>
      <c r="E37" s="2054"/>
      <c r="F37" s="2054"/>
      <c r="G37" s="2054"/>
      <c r="H37" s="2054"/>
      <c r="I37" s="2055"/>
      <c r="J37" s="755"/>
      <c r="K37" s="752"/>
      <c r="L37" s="752"/>
      <c r="M37" s="752"/>
      <c r="N37" s="752"/>
    </row>
    <row r="38" spans="1:14">
      <c r="A38" s="100"/>
      <c r="B38" s="100" t="s">
        <v>688</v>
      </c>
      <c r="C38" s="2056"/>
      <c r="D38" s="2057"/>
      <c r="E38" s="2057"/>
      <c r="F38" s="2057"/>
      <c r="G38" s="2057"/>
      <c r="H38" s="2057"/>
      <c r="I38" s="2058"/>
      <c r="J38" s="757"/>
      <c r="K38" s="758"/>
      <c r="L38" s="758"/>
      <c r="M38" s="758"/>
      <c r="N38" s="758"/>
    </row>
    <row r="39" spans="1:14">
      <c r="A39" s="100"/>
      <c r="B39" s="100" t="s">
        <v>202</v>
      </c>
      <c r="C39" s="2056"/>
      <c r="D39" s="2057"/>
      <c r="E39" s="2057"/>
      <c r="F39" s="2057"/>
      <c r="G39" s="2057"/>
      <c r="H39" s="2057"/>
      <c r="I39" s="2058"/>
      <c r="J39" s="757"/>
      <c r="K39" s="758"/>
      <c r="L39" s="758"/>
      <c r="M39" s="758"/>
      <c r="N39" s="758"/>
    </row>
    <row r="40" spans="1:14">
      <c r="A40" s="100"/>
      <c r="B40" s="100" t="s">
        <v>690</v>
      </c>
      <c r="C40" s="2056"/>
      <c r="D40" s="2057"/>
      <c r="E40" s="2057"/>
      <c r="F40" s="2057"/>
      <c r="G40" s="2057"/>
      <c r="H40" s="2057"/>
      <c r="I40" s="2058"/>
      <c r="J40" s="757"/>
      <c r="K40" s="758"/>
      <c r="L40" s="758"/>
      <c r="M40" s="758"/>
      <c r="N40" s="758"/>
    </row>
    <row r="41" spans="1:14">
      <c r="A41" s="100"/>
      <c r="B41" s="100" t="s">
        <v>203</v>
      </c>
      <c r="C41" s="2056"/>
      <c r="D41" s="2057"/>
      <c r="E41" s="2057"/>
      <c r="F41" s="2057"/>
      <c r="G41" s="2057"/>
      <c r="H41" s="2057"/>
      <c r="I41" s="2058"/>
      <c r="J41" s="757"/>
      <c r="K41" s="758"/>
      <c r="L41" s="758"/>
      <c r="M41" s="758"/>
      <c r="N41" s="758"/>
    </row>
    <row r="42" spans="1:14">
      <c r="A42" s="100"/>
      <c r="B42" s="100" t="s">
        <v>691</v>
      </c>
      <c r="C42" s="2056"/>
      <c r="D42" s="2057"/>
      <c r="E42" s="2057"/>
      <c r="F42" s="2057"/>
      <c r="G42" s="2057"/>
      <c r="H42" s="2057"/>
      <c r="I42" s="2058"/>
      <c r="J42" s="757"/>
      <c r="K42" s="758"/>
      <c r="L42" s="758"/>
      <c r="M42" s="758"/>
      <c r="N42" s="758"/>
    </row>
    <row r="43" spans="1:14">
      <c r="A43" s="100"/>
      <c r="B43" s="100" t="s">
        <v>204</v>
      </c>
      <c r="C43" s="2056"/>
      <c r="D43" s="2057"/>
      <c r="E43" s="2057"/>
      <c r="F43" s="2057"/>
      <c r="G43" s="2057"/>
      <c r="H43" s="2057"/>
      <c r="I43" s="2058"/>
      <c r="J43" s="757"/>
      <c r="K43" s="758"/>
      <c r="L43" s="758"/>
      <c r="M43" s="758"/>
      <c r="N43" s="758"/>
    </row>
    <row r="44" spans="1:14">
      <c r="A44" s="100"/>
      <c r="B44" s="100" t="s">
        <v>205</v>
      </c>
      <c r="C44" s="2059"/>
      <c r="D44" s="2060"/>
      <c r="E44" s="2060"/>
      <c r="F44" s="2060"/>
      <c r="G44" s="2060"/>
      <c r="H44" s="2060"/>
      <c r="I44" s="2061"/>
      <c r="J44" s="757"/>
      <c r="K44" s="758"/>
      <c r="L44" s="758"/>
      <c r="M44" s="758"/>
      <c r="N44" s="758"/>
    </row>
    <row r="45" spans="1:14" ht="21" hidden="1" customHeight="1">
      <c r="A45" s="1325">
        <v>2</v>
      </c>
      <c r="B45" s="1326" t="s">
        <v>343</v>
      </c>
      <c r="C45" s="1327"/>
      <c r="D45" s="1328"/>
      <c r="E45" s="72"/>
      <c r="F45" s="72"/>
      <c r="G45" s="119"/>
      <c r="H45" s="119"/>
      <c r="I45" s="119"/>
      <c r="J45" s="752"/>
      <c r="K45" s="752"/>
      <c r="L45" s="752"/>
      <c r="M45" s="752"/>
      <c r="N45" s="752"/>
    </row>
    <row r="46" spans="1:14" ht="21" hidden="1" customHeight="1">
      <c r="A46" s="241">
        <v>3</v>
      </c>
      <c r="B46" s="1315" t="s">
        <v>330</v>
      </c>
      <c r="C46" s="1329"/>
      <c r="D46" s="1330"/>
      <c r="E46" s="72"/>
      <c r="F46" s="72"/>
      <c r="G46" s="119"/>
      <c r="H46" s="119"/>
      <c r="I46" s="119"/>
      <c r="J46" s="752"/>
      <c r="K46" s="752"/>
      <c r="L46" s="752"/>
      <c r="M46" s="752"/>
      <c r="N46" s="752"/>
    </row>
    <row r="47" spans="1:14" ht="21" hidden="1" customHeight="1">
      <c r="A47" s="241">
        <v>4</v>
      </c>
      <c r="B47" s="1315" t="s">
        <v>331</v>
      </c>
      <c r="C47" s="2051"/>
      <c r="D47" s="2052"/>
      <c r="E47" s="72"/>
      <c r="F47" s="72"/>
      <c r="G47" s="119"/>
      <c r="H47" s="119"/>
      <c r="I47" s="119"/>
      <c r="J47" s="752"/>
      <c r="K47" s="752"/>
      <c r="L47" s="752"/>
      <c r="M47" s="752"/>
      <c r="N47" s="752"/>
    </row>
    <row r="48" spans="1:14" ht="21" hidden="1" customHeight="1">
      <c r="A48" s="241">
        <v>5</v>
      </c>
      <c r="B48" s="1315" t="s">
        <v>332</v>
      </c>
      <c r="C48" s="1329"/>
      <c r="D48" s="1330"/>
      <c r="E48" s="72"/>
      <c r="F48" s="72"/>
      <c r="G48" s="119"/>
      <c r="H48" s="119"/>
      <c r="I48" s="119"/>
      <c r="J48" s="752"/>
      <c r="K48" s="752"/>
      <c r="L48" s="752"/>
      <c r="M48" s="752"/>
      <c r="N48" s="752"/>
    </row>
    <row r="49" spans="1:14" ht="21" hidden="1" customHeight="1">
      <c r="A49" s="72"/>
      <c r="B49" s="72"/>
      <c r="C49" s="72"/>
      <c r="D49" s="72"/>
      <c r="E49" s="72"/>
      <c r="F49" s="72"/>
      <c r="G49" s="119"/>
      <c r="H49" s="119"/>
      <c r="I49" s="119"/>
      <c r="J49" s="752"/>
      <c r="K49" s="752"/>
      <c r="L49" s="752"/>
      <c r="M49" s="752"/>
      <c r="N49" s="752"/>
    </row>
    <row r="50" spans="1:14" hidden="1">
      <c r="A50" s="72"/>
      <c r="B50" s="72"/>
      <c r="C50" s="72"/>
      <c r="D50" s="72"/>
      <c r="E50" s="72"/>
      <c r="F50" s="72"/>
      <c r="G50" s="119"/>
      <c r="H50" s="119"/>
      <c r="I50" s="119"/>
      <c r="J50" s="752"/>
      <c r="K50" s="752"/>
      <c r="L50" s="752"/>
      <c r="M50" s="752"/>
      <c r="N50" s="752"/>
    </row>
    <row r="51" spans="1:14">
      <c r="A51" s="72"/>
      <c r="B51" s="72"/>
      <c r="C51" s="72"/>
      <c r="D51" s="72"/>
      <c r="E51" s="72"/>
      <c r="F51" s="72"/>
      <c r="G51" s="119"/>
      <c r="H51" s="119"/>
      <c r="I51" s="119"/>
      <c r="J51" s="752"/>
      <c r="K51" s="752"/>
      <c r="L51" s="752"/>
      <c r="M51" s="752"/>
      <c r="N51" s="752"/>
    </row>
    <row r="52" spans="1:14">
      <c r="A52" s="1331" t="s">
        <v>695</v>
      </c>
      <c r="B52" s="72"/>
      <c r="C52" s="72"/>
      <c r="D52" s="72"/>
      <c r="E52" s="72"/>
      <c r="F52" s="72"/>
      <c r="G52" s="119"/>
      <c r="H52" s="119"/>
      <c r="I52" s="119"/>
      <c r="J52" s="752"/>
      <c r="K52" s="752"/>
      <c r="L52" s="752"/>
      <c r="M52" s="752"/>
      <c r="N52" s="752"/>
    </row>
    <row r="53" spans="1:14">
      <c r="A53" s="2050" t="s">
        <v>900</v>
      </c>
      <c r="B53" s="2050"/>
      <c r="C53" s="2050"/>
      <c r="D53" s="2050"/>
      <c r="E53" s="2050"/>
      <c r="F53" s="2050"/>
      <c r="G53" s="2050"/>
      <c r="H53" s="2050"/>
      <c r="I53" s="119"/>
      <c r="J53" s="752"/>
      <c r="K53" s="752"/>
      <c r="L53" s="752"/>
      <c r="M53" s="752"/>
      <c r="N53" s="752"/>
    </row>
    <row r="54" spans="1:14" ht="60">
      <c r="A54" s="1323" t="s">
        <v>623</v>
      </c>
      <c r="B54" s="1332" t="s">
        <v>696</v>
      </c>
      <c r="C54" s="1332" t="s">
        <v>697</v>
      </c>
      <c r="D54" s="1332" t="s">
        <v>698</v>
      </c>
      <c r="E54" s="1332" t="s">
        <v>699</v>
      </c>
      <c r="F54" s="1332" t="s">
        <v>700</v>
      </c>
      <c r="G54" s="1332" t="s">
        <v>701</v>
      </c>
      <c r="H54" s="1332" t="s">
        <v>702</v>
      </c>
      <c r="I54" s="72"/>
    </row>
    <row r="55" spans="1:14">
      <c r="A55" s="1333">
        <v>1</v>
      </c>
      <c r="B55" s="1334">
        <v>2</v>
      </c>
      <c r="C55" s="1333">
        <v>3</v>
      </c>
      <c r="D55" s="1334">
        <v>4</v>
      </c>
      <c r="E55" s="1333">
        <v>5</v>
      </c>
      <c r="F55" s="1334">
        <v>6</v>
      </c>
      <c r="G55" s="1333">
        <v>7</v>
      </c>
      <c r="H55" s="1334">
        <v>8</v>
      </c>
      <c r="I55" s="72"/>
    </row>
    <row r="56" spans="1:14">
      <c r="A56" s="1314"/>
      <c r="B56" s="1314"/>
      <c r="C56" s="2062" t="s">
        <v>931</v>
      </c>
      <c r="D56" s="2063"/>
      <c r="E56" s="2063"/>
      <c r="F56" s="2063"/>
      <c r="G56" s="2063"/>
      <c r="H56" s="2064"/>
      <c r="I56" s="72"/>
    </row>
    <row r="57" spans="1:14">
      <c r="A57" s="1318"/>
      <c r="B57" s="1318"/>
      <c r="C57" s="217"/>
      <c r="D57" s="217"/>
      <c r="E57" s="217"/>
      <c r="F57" s="217"/>
      <c r="G57" s="217"/>
      <c r="H57" s="217"/>
      <c r="I57" s="72"/>
    </row>
    <row r="58" spans="1:14">
      <c r="A58" s="72"/>
      <c r="B58" s="72"/>
      <c r="C58" s="72"/>
      <c r="D58" s="72"/>
      <c r="E58" s="72"/>
      <c r="F58" s="72"/>
      <c r="G58" s="72"/>
      <c r="H58" s="72"/>
      <c r="I58" s="72"/>
    </row>
    <row r="59" spans="1:14">
      <c r="A59" s="72"/>
      <c r="B59" s="72"/>
      <c r="C59" s="72"/>
      <c r="D59" s="72"/>
      <c r="E59" s="72"/>
      <c r="F59" s="72"/>
      <c r="G59" s="72"/>
      <c r="H59" s="72"/>
      <c r="I59" s="72"/>
    </row>
    <row r="60" spans="1:14">
      <c r="A60" s="72"/>
      <c r="B60" s="72"/>
      <c r="C60" s="72"/>
      <c r="D60" s="72"/>
      <c r="E60" s="72"/>
      <c r="F60" s="2049" t="s">
        <v>401</v>
      </c>
      <c r="G60" s="2049"/>
      <c r="H60" s="2049"/>
      <c r="I60" s="2049"/>
    </row>
  </sheetData>
  <mergeCells count="7">
    <mergeCell ref="F60:I60"/>
    <mergeCell ref="A1:I1"/>
    <mergeCell ref="A35:I35"/>
    <mergeCell ref="C47:D47"/>
    <mergeCell ref="A53:H53"/>
    <mergeCell ref="C37:I44"/>
    <mergeCell ref="C56:H56"/>
  </mergeCells>
  <pageMargins left="0.55118110236220474" right="0.55118110236220474" top="0.47244094488188981" bottom="0.74803149606299213" header="0.31496062992125984" footer="0.31496062992125984"/>
  <pageSetup paperSize="9" scale="6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Q105"/>
  <sheetViews>
    <sheetView showGridLines="0" view="pageBreakPreview" zoomScale="80" zoomScaleNormal="100" zoomScaleSheetLayoutView="80" workbookViewId="0">
      <pane xSplit="2" ySplit="2" topLeftCell="C3" activePane="bottomRight" state="frozen"/>
      <selection pane="topRight" activeCell="C1" sqref="C1"/>
      <selection pane="bottomLeft" activeCell="A3" sqref="A3"/>
      <selection pane="bottomRight" activeCell="I10" sqref="I10"/>
    </sheetView>
  </sheetViews>
  <sheetFormatPr defaultColWidth="9.140625" defaultRowHeight="15"/>
  <cols>
    <col min="1" max="1" width="6.5703125" style="760" customWidth="1"/>
    <col min="2" max="2" width="30.28515625" style="760" customWidth="1"/>
    <col min="3" max="3" width="15.140625" style="759" customWidth="1"/>
    <col min="4" max="4" width="13.28515625" style="759" customWidth="1"/>
    <col min="5" max="5" width="12.5703125" style="759" customWidth="1"/>
    <col min="6" max="6" width="10.28515625" style="759" customWidth="1"/>
    <col min="7" max="7" width="12" style="759" customWidth="1"/>
    <col min="8" max="8" width="10.7109375" style="759" bestFit="1" customWidth="1"/>
    <col min="9" max="9" width="7.140625" style="759" customWidth="1"/>
    <col min="10" max="10" width="9.140625" style="759" bestFit="1" customWidth="1"/>
    <col min="11" max="11" width="7.85546875" style="759" customWidth="1"/>
    <col min="12" max="12" width="17.42578125" style="759" customWidth="1"/>
    <col min="13" max="13" width="12.42578125" style="759" customWidth="1"/>
    <col min="14" max="14" width="12.85546875" style="759" customWidth="1"/>
    <col min="15" max="15" width="9.140625" style="759"/>
    <col min="16" max="16384" width="9.140625" style="760"/>
  </cols>
  <sheetData>
    <row r="1" spans="1:17" ht="21" customHeight="1">
      <c r="A1" s="2084" t="s">
        <v>1158</v>
      </c>
      <c r="B1" s="2084"/>
      <c r="C1" s="2084"/>
      <c r="D1" s="2084"/>
      <c r="E1" s="2084"/>
      <c r="F1" s="2084"/>
      <c r="G1" s="2084"/>
      <c r="H1" s="2084"/>
      <c r="I1" s="2084"/>
      <c r="J1" s="2084"/>
      <c r="K1" s="2084"/>
      <c r="L1" s="2084"/>
      <c r="M1" s="2084"/>
      <c r="N1" s="2084"/>
      <c r="O1" s="1335"/>
      <c r="P1" s="253"/>
      <c r="Q1" s="253"/>
    </row>
    <row r="2" spans="1:17" ht="21" customHeight="1">
      <c r="A2" s="2019" t="s">
        <v>901</v>
      </c>
      <c r="B2" s="2019"/>
      <c r="C2" s="2019"/>
      <c r="D2" s="2019"/>
      <c r="E2" s="2019"/>
      <c r="F2" s="2019"/>
      <c r="G2" s="2019"/>
      <c r="H2" s="2019"/>
      <c r="I2" s="2019"/>
      <c r="J2" s="2019"/>
      <c r="K2" s="2019"/>
      <c r="L2" s="2019"/>
      <c r="M2" s="2085" t="s">
        <v>862</v>
      </c>
      <c r="N2" s="2085"/>
      <c r="O2" s="1335"/>
      <c r="P2" s="253"/>
      <c r="Q2" s="253"/>
    </row>
    <row r="3" spans="1:17" ht="21" customHeight="1">
      <c r="A3" s="253"/>
      <c r="B3" s="253"/>
      <c r="C3" s="1335"/>
      <c r="D3" s="1335"/>
      <c r="E3" s="1335"/>
      <c r="F3" s="1335"/>
      <c r="G3" s="1335"/>
      <c r="H3" s="1335"/>
      <c r="I3" s="1336"/>
      <c r="J3" s="1336"/>
      <c r="K3" s="1336"/>
      <c r="L3" s="1336"/>
      <c r="M3" s="2086" t="s">
        <v>320</v>
      </c>
      <c r="N3" s="2086"/>
      <c r="O3" s="1335"/>
      <c r="P3" s="253"/>
      <c r="Q3" s="253"/>
    </row>
    <row r="4" spans="1:17" s="761" customFormat="1" ht="61.5" customHeight="1">
      <c r="A4" s="1909" t="s">
        <v>158</v>
      </c>
      <c r="B4" s="1909" t="s">
        <v>48</v>
      </c>
      <c r="C4" s="2087" t="s">
        <v>231</v>
      </c>
      <c r="D4" s="2088"/>
      <c r="E4" s="2088"/>
      <c r="F4" s="2089"/>
      <c r="G4" s="1337" t="s">
        <v>232</v>
      </c>
      <c r="H4" s="2087" t="s">
        <v>233</v>
      </c>
      <c r="I4" s="2089"/>
      <c r="J4" s="2090" t="s">
        <v>234</v>
      </c>
      <c r="K4" s="2090"/>
      <c r="L4" s="2090"/>
      <c r="M4" s="2090" t="s">
        <v>235</v>
      </c>
      <c r="N4" s="2090"/>
      <c r="O4" s="1338"/>
      <c r="P4" s="1339"/>
      <c r="Q4" s="1339"/>
    </row>
    <row r="5" spans="1:17" s="761" customFormat="1" ht="36.75" customHeight="1">
      <c r="A5" s="1909"/>
      <c r="B5" s="1909"/>
      <c r="C5" s="1337" t="s">
        <v>236</v>
      </c>
      <c r="D5" s="1337" t="s">
        <v>237</v>
      </c>
      <c r="E5" s="1337" t="s">
        <v>238</v>
      </c>
      <c r="F5" s="1337" t="s">
        <v>68</v>
      </c>
      <c r="G5" s="1337"/>
      <c r="H5" s="1337" t="s">
        <v>239</v>
      </c>
      <c r="I5" s="1337" t="s">
        <v>240</v>
      </c>
      <c r="J5" s="1337" t="s">
        <v>239</v>
      </c>
      <c r="K5" s="1337" t="s">
        <v>240</v>
      </c>
      <c r="L5" s="1337" t="s">
        <v>151</v>
      </c>
      <c r="M5" s="1337" t="s">
        <v>241</v>
      </c>
      <c r="N5" s="1337" t="s">
        <v>242</v>
      </c>
      <c r="O5" s="1338"/>
      <c r="P5" s="1339"/>
      <c r="Q5" s="1339"/>
    </row>
    <row r="6" spans="1:17" ht="21" customHeight="1">
      <c r="A6" s="1257" t="s">
        <v>137</v>
      </c>
      <c r="B6" s="152" t="s">
        <v>243</v>
      </c>
      <c r="C6" s="1340"/>
      <c r="D6" s="1340"/>
      <c r="E6" s="1340"/>
      <c r="F6" s="1340"/>
      <c r="G6" s="1340"/>
      <c r="H6" s="1340"/>
      <c r="I6" s="1340"/>
      <c r="J6" s="1340"/>
      <c r="K6" s="1340"/>
      <c r="L6" s="1340"/>
      <c r="M6" s="246"/>
      <c r="N6" s="246"/>
      <c r="O6" s="1335"/>
      <c r="P6" s="253"/>
      <c r="Q6" s="253"/>
    </row>
    <row r="7" spans="1:17" ht="21" customHeight="1">
      <c r="A7" s="1341">
        <v>1</v>
      </c>
      <c r="B7" s="1069" t="s">
        <v>934</v>
      </c>
      <c r="C7" s="1340"/>
      <c r="D7" s="1340">
        <f>'F9-1'!D6</f>
        <v>464.0335963</v>
      </c>
      <c r="E7" s="1342"/>
      <c r="F7" s="1340">
        <f>+C7+D7+E7</f>
        <v>464.0335963</v>
      </c>
      <c r="G7" s="1340">
        <f>'F9-1'!F6</f>
        <v>9.3613300000015442E-2</v>
      </c>
      <c r="H7" s="1340"/>
      <c r="I7" s="1340"/>
      <c r="J7" s="1340"/>
      <c r="K7" s="1340"/>
      <c r="L7" s="1340">
        <v>10</v>
      </c>
      <c r="M7" s="246">
        <f>SUM(G7,F7)</f>
        <v>464.12720960000001</v>
      </c>
      <c r="N7" s="1343">
        <f>+E7+J7</f>
        <v>0</v>
      </c>
      <c r="O7" s="1335"/>
      <c r="P7" s="253"/>
      <c r="Q7" s="253"/>
    </row>
    <row r="8" spans="1:17" ht="21" customHeight="1">
      <c r="A8" s="1341">
        <v>2</v>
      </c>
      <c r="B8" s="1314" t="s">
        <v>919</v>
      </c>
      <c r="C8" s="1342"/>
      <c r="D8" s="1342">
        <f>'F9-1'!D5</f>
        <v>500</v>
      </c>
      <c r="E8" s="1342"/>
      <c r="F8" s="1340">
        <f>+C8+D8+E8</f>
        <v>500</v>
      </c>
      <c r="G8" s="1342">
        <f>'F9-1'!F5</f>
        <v>1250</v>
      </c>
      <c r="H8" s="1342"/>
      <c r="I8" s="1342"/>
      <c r="J8" s="1342"/>
      <c r="K8" s="1342"/>
      <c r="L8" s="1323" t="s">
        <v>2281</v>
      </c>
      <c r="M8" s="246">
        <f>SUM(G8,F8)</f>
        <v>1750</v>
      </c>
      <c r="N8" s="1343">
        <f>+E8+J8</f>
        <v>0</v>
      </c>
      <c r="O8" s="1335"/>
      <c r="P8" s="253"/>
      <c r="Q8" s="253"/>
    </row>
    <row r="9" spans="1:17" s="1355" customFormat="1" ht="21" customHeight="1" thickBot="1">
      <c r="A9" s="1351"/>
      <c r="B9" s="1344" t="s">
        <v>373</v>
      </c>
      <c r="C9" s="1352">
        <f>SUM(C7:C8)</f>
        <v>0</v>
      </c>
      <c r="D9" s="1352">
        <f t="shared" ref="D9:N9" si="0">SUM(D7:D8)</f>
        <v>964.0335963</v>
      </c>
      <c r="E9" s="1352">
        <f t="shared" si="0"/>
        <v>0</v>
      </c>
      <c r="F9" s="1352">
        <f t="shared" si="0"/>
        <v>964.0335963</v>
      </c>
      <c r="G9" s="1352">
        <f t="shared" si="0"/>
        <v>1250.0936133</v>
      </c>
      <c r="H9" s="1352">
        <f t="shared" si="0"/>
        <v>0</v>
      </c>
      <c r="I9" s="1352">
        <f t="shared" si="0"/>
        <v>0</v>
      </c>
      <c r="J9" s="1352">
        <f t="shared" si="0"/>
        <v>0</v>
      </c>
      <c r="K9" s="1352">
        <f t="shared" si="0"/>
        <v>0</v>
      </c>
      <c r="L9" s="1352"/>
      <c r="M9" s="1352">
        <f t="shared" si="0"/>
        <v>2214.1272096000002</v>
      </c>
      <c r="N9" s="1352">
        <f t="shared" si="0"/>
        <v>0</v>
      </c>
      <c r="O9" s="1353"/>
      <c r="P9" s="1354"/>
      <c r="Q9" s="1354"/>
    </row>
    <row r="10" spans="1:17" ht="21" customHeight="1">
      <c r="A10" s="1257" t="s">
        <v>142</v>
      </c>
      <c r="B10" s="152" t="s">
        <v>248</v>
      </c>
      <c r="C10" s="1340"/>
      <c r="D10" s="1340"/>
      <c r="E10" s="1340"/>
      <c r="F10" s="1340"/>
      <c r="G10" s="1340"/>
      <c r="H10" s="1340"/>
      <c r="I10" s="1340"/>
      <c r="J10" s="1340"/>
      <c r="K10" s="1340"/>
      <c r="L10" s="1340"/>
      <c r="M10" s="246"/>
      <c r="N10" s="246"/>
      <c r="O10" s="1335"/>
      <c r="P10" s="253"/>
      <c r="Q10" s="253"/>
    </row>
    <row r="11" spans="1:17" ht="21" customHeight="1">
      <c r="A11" s="1257">
        <v>1</v>
      </c>
      <c r="B11" s="2065">
        <v>0</v>
      </c>
      <c r="C11" s="2066"/>
      <c r="D11" s="2066"/>
      <c r="E11" s="2066"/>
      <c r="F11" s="2066"/>
      <c r="G11" s="2066"/>
      <c r="H11" s="2066"/>
      <c r="I11" s="2066"/>
      <c r="J11" s="2066"/>
      <c r="K11" s="2066"/>
      <c r="L11" s="2066"/>
      <c r="M11" s="2066"/>
      <c r="N11" s="2067"/>
      <c r="O11" s="1335"/>
      <c r="P11" s="253"/>
      <c r="Q11" s="253"/>
    </row>
    <row r="12" spans="1:17" ht="21" customHeight="1">
      <c r="A12" s="1257">
        <v>2</v>
      </c>
      <c r="B12" s="2068"/>
      <c r="C12" s="2069"/>
      <c r="D12" s="2069"/>
      <c r="E12" s="2069"/>
      <c r="F12" s="2069"/>
      <c r="G12" s="2069"/>
      <c r="H12" s="2069"/>
      <c r="I12" s="2069"/>
      <c r="J12" s="2069"/>
      <c r="K12" s="2069"/>
      <c r="L12" s="2069"/>
      <c r="M12" s="2069"/>
      <c r="N12" s="2070"/>
      <c r="O12" s="1335"/>
      <c r="P12" s="253"/>
      <c r="Q12" s="253"/>
    </row>
    <row r="13" spans="1:17" ht="21" customHeight="1">
      <c r="A13" s="1257">
        <v>3</v>
      </c>
      <c r="B13" s="2068"/>
      <c r="C13" s="2069"/>
      <c r="D13" s="2069"/>
      <c r="E13" s="2069"/>
      <c r="F13" s="2069"/>
      <c r="G13" s="2069"/>
      <c r="H13" s="2069"/>
      <c r="I13" s="2069"/>
      <c r="J13" s="2069"/>
      <c r="K13" s="2069"/>
      <c r="L13" s="2069"/>
      <c r="M13" s="2069"/>
      <c r="N13" s="2070"/>
      <c r="O13" s="1335"/>
      <c r="P13" s="253"/>
      <c r="Q13" s="253"/>
    </row>
    <row r="14" spans="1:17" ht="21" customHeight="1">
      <c r="A14" s="1257">
        <v>4</v>
      </c>
      <c r="B14" s="2071"/>
      <c r="C14" s="2072"/>
      <c r="D14" s="2072"/>
      <c r="E14" s="2072"/>
      <c r="F14" s="2072"/>
      <c r="G14" s="2072"/>
      <c r="H14" s="2072"/>
      <c r="I14" s="2072"/>
      <c r="J14" s="2072"/>
      <c r="K14" s="2072"/>
      <c r="L14" s="2072"/>
      <c r="M14" s="2072"/>
      <c r="N14" s="2073"/>
      <c r="O14" s="1335"/>
      <c r="P14" s="253"/>
      <c r="Q14" s="253"/>
    </row>
    <row r="15" spans="1:17" ht="21" customHeight="1" thickBot="1">
      <c r="A15" s="1341"/>
      <c r="B15" s="1344" t="s">
        <v>373</v>
      </c>
      <c r="C15" s="1345">
        <f>SUM(C11:C14)</f>
        <v>0</v>
      </c>
      <c r="D15" s="1345">
        <f t="shared" ref="D15:N15" si="1">SUM(D11:D14)</f>
        <v>0</v>
      </c>
      <c r="E15" s="1345">
        <f t="shared" si="1"/>
        <v>0</v>
      </c>
      <c r="F15" s="1345">
        <f t="shared" si="1"/>
        <v>0</v>
      </c>
      <c r="G15" s="1345">
        <f t="shared" si="1"/>
        <v>0</v>
      </c>
      <c r="H15" s="1345">
        <f t="shared" si="1"/>
        <v>0</v>
      </c>
      <c r="I15" s="1345">
        <f t="shared" si="1"/>
        <v>0</v>
      </c>
      <c r="J15" s="1345">
        <f t="shared" si="1"/>
        <v>0</v>
      </c>
      <c r="K15" s="1345">
        <f t="shared" si="1"/>
        <v>0</v>
      </c>
      <c r="L15" s="1345"/>
      <c r="M15" s="1345">
        <f t="shared" si="1"/>
        <v>0</v>
      </c>
      <c r="N15" s="1345">
        <f t="shared" si="1"/>
        <v>0</v>
      </c>
      <c r="O15" s="1335"/>
      <c r="P15" s="253"/>
      <c r="Q15" s="253"/>
    </row>
    <row r="16" spans="1:17" ht="21" customHeight="1" thickBot="1">
      <c r="A16" s="1346"/>
      <c r="B16" s="1347" t="s">
        <v>374</v>
      </c>
      <c r="C16" s="1348">
        <f>C9+C15</f>
        <v>0</v>
      </c>
      <c r="D16" s="1348">
        <f t="shared" ref="D16:K16" si="2">D9+D15</f>
        <v>964.0335963</v>
      </c>
      <c r="E16" s="1348">
        <f t="shared" si="2"/>
        <v>0</v>
      </c>
      <c r="F16" s="1348">
        <f t="shared" si="2"/>
        <v>964.0335963</v>
      </c>
      <c r="G16" s="1348">
        <f t="shared" si="2"/>
        <v>1250.0936133</v>
      </c>
      <c r="H16" s="1348">
        <f t="shared" si="2"/>
        <v>0</v>
      </c>
      <c r="I16" s="1348">
        <f t="shared" si="2"/>
        <v>0</v>
      </c>
      <c r="J16" s="1348">
        <f t="shared" si="2"/>
        <v>0</v>
      </c>
      <c r="K16" s="1348">
        <f t="shared" si="2"/>
        <v>0</v>
      </c>
      <c r="L16" s="1348"/>
      <c r="M16" s="1348">
        <f>M9+M15</f>
        <v>2214.1272096000002</v>
      </c>
      <c r="N16" s="1348">
        <f>N9+N15</f>
        <v>0</v>
      </c>
      <c r="O16" s="1335"/>
      <c r="P16" s="253"/>
      <c r="Q16" s="253"/>
    </row>
    <row r="17" spans="1:17" ht="21" customHeight="1" thickTop="1">
      <c r="A17" s="1349"/>
      <c r="B17" s="2082" t="s">
        <v>632</v>
      </c>
      <c r="C17" s="2082"/>
      <c r="D17" s="2082"/>
      <c r="E17" s="2082"/>
      <c r="F17" s="2082"/>
      <c r="G17" s="2082"/>
      <c r="H17" s="2082"/>
      <c r="I17" s="2082"/>
      <c r="J17" s="2082"/>
      <c r="K17" s="2082"/>
      <c r="L17" s="2082"/>
      <c r="M17" s="2082"/>
      <c r="N17" s="2082"/>
      <c r="O17" s="253"/>
      <c r="P17" s="253"/>
      <c r="Q17" s="253"/>
    </row>
    <row r="18" spans="1:17">
      <c r="A18" s="1349"/>
      <c r="B18" s="2083"/>
      <c r="C18" s="2083"/>
      <c r="D18" s="2083"/>
      <c r="E18" s="2083"/>
      <c r="F18" s="2083"/>
      <c r="G18" s="2083"/>
      <c r="H18" s="2083"/>
      <c r="I18" s="2083"/>
      <c r="J18" s="2083"/>
      <c r="K18" s="2083"/>
      <c r="L18" s="2083"/>
      <c r="M18" s="2083"/>
      <c r="N18" s="2083"/>
      <c r="O18" s="253"/>
      <c r="P18" s="253"/>
      <c r="Q18" s="253"/>
    </row>
    <row r="19" spans="1:17" ht="21" customHeight="1">
      <c r="A19" s="254"/>
      <c r="B19" s="253"/>
      <c r="C19" s="1335"/>
      <c r="D19" s="1335"/>
      <c r="E19" s="1335"/>
      <c r="F19" s="1335"/>
      <c r="G19" s="1335"/>
      <c r="H19" s="1335"/>
      <c r="I19" s="1335"/>
      <c r="J19" s="1335"/>
      <c r="K19" s="1335"/>
      <c r="L19" s="1335"/>
      <c r="M19" s="1335"/>
      <c r="N19" s="1335"/>
      <c r="O19" s="253"/>
      <c r="P19" s="253"/>
      <c r="Q19" s="253"/>
    </row>
    <row r="20" spans="1:17" ht="21" customHeight="1">
      <c r="A20" s="254"/>
      <c r="B20" s="253"/>
      <c r="C20" s="1335"/>
      <c r="D20" s="1335"/>
      <c r="E20" s="1335"/>
      <c r="F20" s="1335"/>
      <c r="G20" s="1335"/>
      <c r="H20" s="1335"/>
      <c r="I20" s="1335"/>
      <c r="J20" s="1335"/>
      <c r="K20" s="1335"/>
      <c r="L20" s="2074" t="s">
        <v>401</v>
      </c>
      <c r="M20" s="2074"/>
      <c r="N20" s="2075"/>
      <c r="O20" s="253"/>
      <c r="P20" s="253"/>
      <c r="Q20" s="253"/>
    </row>
    <row r="21" spans="1:17" ht="21" customHeight="1">
      <c r="A21" s="254"/>
      <c r="B21" s="253"/>
      <c r="C21" s="1335"/>
      <c r="D21" s="1335"/>
      <c r="E21" s="1335"/>
      <c r="F21" s="1335"/>
      <c r="G21" s="1335"/>
      <c r="H21" s="1335"/>
      <c r="I21" s="1335"/>
      <c r="J21" s="1335"/>
      <c r="K21" s="1335"/>
      <c r="L21" s="1350"/>
      <c r="M21" s="1350"/>
      <c r="N21" s="1335"/>
      <c r="O21" s="253"/>
      <c r="P21" s="253"/>
      <c r="Q21" s="253"/>
    </row>
    <row r="22" spans="1:17" ht="21" customHeight="1">
      <c r="A22" s="254"/>
      <c r="B22" s="253"/>
      <c r="C22" s="1335"/>
      <c r="D22" s="1335"/>
      <c r="E22" s="1335"/>
      <c r="F22" s="1335"/>
      <c r="G22" s="1335"/>
      <c r="H22" s="1335"/>
      <c r="I22" s="1335"/>
      <c r="J22" s="1335"/>
      <c r="K22" s="1335"/>
      <c r="L22" s="1350"/>
      <c r="M22" s="1350"/>
      <c r="N22" s="1335"/>
      <c r="O22" s="253"/>
      <c r="P22" s="253"/>
      <c r="Q22" s="253"/>
    </row>
    <row r="23" spans="1:17" ht="21" hidden="1" customHeight="1">
      <c r="A23" s="762" t="s">
        <v>187</v>
      </c>
      <c r="B23" s="764"/>
      <c r="C23" s="765"/>
      <c r="D23" s="765"/>
      <c r="E23" s="765"/>
      <c r="F23" s="765"/>
      <c r="G23" s="765"/>
      <c r="H23" s="765"/>
      <c r="O23" s="760"/>
    </row>
    <row r="24" spans="1:17" ht="23.25" hidden="1" customHeight="1">
      <c r="A24" s="766">
        <v>1</v>
      </c>
      <c r="B24" s="756" t="s">
        <v>339</v>
      </c>
      <c r="C24" s="2076" t="s">
        <v>351</v>
      </c>
      <c r="D24" s="2077"/>
      <c r="E24" s="2077"/>
      <c r="F24" s="2077"/>
      <c r="G24" s="2077"/>
      <c r="H24" s="2078"/>
      <c r="O24" s="760"/>
    </row>
    <row r="25" spans="1:17" ht="21" hidden="1" customHeight="1">
      <c r="A25" s="767">
        <v>2</v>
      </c>
      <c r="B25" s="768" t="s">
        <v>343</v>
      </c>
      <c r="C25" s="769" t="s">
        <v>328</v>
      </c>
      <c r="D25" s="765"/>
      <c r="E25" s="765"/>
      <c r="F25" s="765"/>
      <c r="G25" s="765"/>
      <c r="H25" s="770"/>
      <c r="O25" s="760"/>
    </row>
    <row r="26" spans="1:17" ht="21" hidden="1" customHeight="1">
      <c r="A26" s="766">
        <v>3</v>
      </c>
      <c r="B26" s="771" t="s">
        <v>330</v>
      </c>
      <c r="C26" s="772" t="s">
        <v>328</v>
      </c>
      <c r="D26" s="773"/>
      <c r="E26" s="773"/>
      <c r="F26" s="773"/>
      <c r="G26" s="773"/>
      <c r="H26" s="774"/>
      <c r="O26" s="760"/>
    </row>
    <row r="27" spans="1:17" ht="33.75" hidden="1" customHeight="1">
      <c r="A27" s="766">
        <v>4</v>
      </c>
      <c r="B27" s="775" t="s">
        <v>331</v>
      </c>
      <c r="C27" s="2079" t="s">
        <v>354</v>
      </c>
      <c r="D27" s="2080"/>
      <c r="E27" s="2080"/>
      <c r="F27" s="2080"/>
      <c r="G27" s="2080"/>
      <c r="H27" s="2081"/>
      <c r="O27" s="760"/>
    </row>
    <row r="28" spans="1:17" ht="21" hidden="1" customHeight="1">
      <c r="A28" s="766">
        <v>5</v>
      </c>
      <c r="B28" s="775" t="s">
        <v>332</v>
      </c>
      <c r="C28" s="772"/>
      <c r="D28" s="773"/>
      <c r="E28" s="773"/>
      <c r="F28" s="773"/>
      <c r="G28" s="773"/>
      <c r="H28" s="774"/>
      <c r="O28" s="760"/>
    </row>
    <row r="29" spans="1:17" ht="21" hidden="1" customHeight="1">
      <c r="A29" s="763"/>
      <c r="O29" s="760"/>
    </row>
    <row r="30" spans="1:17" ht="21" hidden="1" customHeight="1">
      <c r="O30" s="760"/>
    </row>
    <row r="31" spans="1:17" ht="21" hidden="1" customHeight="1">
      <c r="O31" s="760"/>
    </row>
    <row r="32" spans="1:17" ht="21" hidden="1" customHeight="1">
      <c r="O32" s="760"/>
    </row>
    <row r="33" s="760" customFormat="1" ht="21" hidden="1" customHeight="1"/>
    <row r="34" s="760" customFormat="1" ht="21" hidden="1" customHeight="1"/>
    <row r="35" s="760" customFormat="1" ht="21" hidden="1" customHeight="1"/>
    <row r="36" s="760" customFormat="1" ht="21" hidden="1" customHeight="1"/>
    <row r="37" s="760" customFormat="1" ht="21" hidden="1" customHeight="1"/>
    <row r="38" s="760" customFormat="1" ht="21" customHeight="1"/>
    <row r="39" s="760" customFormat="1" ht="21" customHeight="1"/>
    <row r="40" s="760" customFormat="1" ht="21" customHeight="1"/>
    <row r="41" s="760" customFormat="1" ht="21" customHeight="1"/>
    <row r="42" s="760" customFormat="1" ht="21" customHeight="1"/>
    <row r="43" s="760" customFormat="1" ht="21" customHeight="1"/>
    <row r="44" s="760" customFormat="1" ht="21" customHeight="1"/>
    <row r="45" s="760" customFormat="1" ht="21" customHeight="1"/>
    <row r="46" s="760" customFormat="1" ht="21" customHeight="1"/>
    <row r="47" s="760" customFormat="1" ht="21" customHeight="1"/>
    <row r="48" s="760" customFormat="1" ht="21" customHeight="1"/>
    <row r="49" s="760" customFormat="1" ht="21" customHeight="1"/>
    <row r="50" s="760" customFormat="1" ht="21" customHeight="1"/>
    <row r="51" s="760" customFormat="1" ht="21" customHeight="1"/>
    <row r="52" s="760" customFormat="1" ht="21" customHeight="1"/>
    <row r="53" s="760" customFormat="1" ht="21" customHeight="1"/>
    <row r="54" s="760" customFormat="1" ht="21" customHeight="1"/>
    <row r="55" s="760" customFormat="1" ht="21" customHeight="1"/>
    <row r="56" s="760" customFormat="1" ht="21" customHeight="1"/>
    <row r="57" s="760" customFormat="1" ht="21" customHeight="1"/>
    <row r="58" s="760" customFormat="1" ht="21" customHeight="1"/>
    <row r="59" s="760" customFormat="1" ht="21" customHeight="1"/>
    <row r="60" s="760" customFormat="1" ht="21" customHeight="1"/>
    <row r="61" s="760" customFormat="1" ht="21" customHeight="1"/>
    <row r="62" s="760" customFormat="1" ht="21" customHeight="1"/>
    <row r="63" s="760" customFormat="1" ht="21" customHeight="1"/>
    <row r="64" s="760" customFormat="1" ht="21" customHeight="1"/>
    <row r="65" s="760" customFormat="1" ht="21" customHeight="1"/>
    <row r="66" s="760" customFormat="1" ht="21" customHeight="1"/>
    <row r="67" s="760" customFormat="1" ht="21" customHeight="1"/>
    <row r="68" s="760" customFormat="1" ht="21" customHeight="1"/>
    <row r="69" s="760" customFormat="1" ht="21" customHeight="1"/>
    <row r="70" s="760" customFormat="1" ht="21" customHeight="1"/>
    <row r="71" s="760" customFormat="1" ht="21" customHeight="1"/>
    <row r="72" s="760" customFormat="1" ht="21" customHeight="1"/>
    <row r="73" s="760" customFormat="1" ht="21" customHeight="1"/>
    <row r="74" s="760" customFormat="1" ht="21" customHeight="1"/>
    <row r="75" s="760" customFormat="1" ht="21" customHeight="1"/>
    <row r="76" s="760" customFormat="1" ht="21" customHeight="1"/>
    <row r="77" s="760" customFormat="1" ht="21" customHeight="1"/>
    <row r="78" s="760" customFormat="1" ht="21" customHeight="1"/>
    <row r="79" s="760" customFormat="1" ht="21" customHeight="1"/>
    <row r="80" s="760" customFormat="1" ht="21" customHeight="1"/>
    <row r="81" s="760" customFormat="1" ht="21" customHeight="1"/>
    <row r="82" s="760" customFormat="1" ht="21" customHeight="1"/>
    <row r="83" s="760" customFormat="1" ht="21" customHeight="1"/>
    <row r="84" s="760" customFormat="1" ht="21" customHeight="1"/>
    <row r="85" s="760" customFormat="1" ht="21" customHeight="1"/>
    <row r="86" s="760" customFormat="1" ht="21" customHeight="1"/>
    <row r="87" s="760" customFormat="1" ht="21" customHeight="1"/>
    <row r="88" s="760" customFormat="1" ht="21" customHeight="1"/>
    <row r="89" s="760" customFormat="1" ht="21" customHeight="1"/>
    <row r="90" s="760" customFormat="1" ht="21" customHeight="1"/>
    <row r="91" s="760" customFormat="1" ht="21" customHeight="1"/>
    <row r="92" s="760" customFormat="1" ht="21" customHeight="1"/>
    <row r="93" s="760" customFormat="1" ht="21" customHeight="1"/>
    <row r="94" s="760" customFormat="1" ht="21" customHeight="1"/>
    <row r="95" s="760" customFormat="1" ht="21" customHeight="1"/>
    <row r="96" s="760" customFormat="1" ht="21" customHeight="1"/>
    <row r="97" s="760" customFormat="1" ht="21" customHeight="1"/>
    <row r="98" s="760" customFormat="1" ht="21" customHeight="1"/>
    <row r="99" s="760" customFormat="1" ht="21" customHeight="1"/>
    <row r="100" s="760" customFormat="1" ht="21" customHeight="1"/>
    <row r="101" s="760" customFormat="1" ht="21" customHeight="1"/>
    <row r="102" s="760" customFormat="1" ht="21" customHeight="1"/>
    <row r="103" s="760" customFormat="1" ht="21" customHeight="1"/>
    <row r="104" s="760" customFormat="1" ht="21" customHeight="1"/>
    <row r="105" s="760" customFormat="1" ht="21" customHeight="1"/>
  </sheetData>
  <mergeCells count="15">
    <mergeCell ref="A1:N1"/>
    <mergeCell ref="A2:L2"/>
    <mergeCell ref="M2:N2"/>
    <mergeCell ref="M3:N3"/>
    <mergeCell ref="A4:A5"/>
    <mergeCell ref="B4:B5"/>
    <mergeCell ref="C4:F4"/>
    <mergeCell ref="H4:I4"/>
    <mergeCell ref="J4:L4"/>
    <mergeCell ref="M4:N4"/>
    <mergeCell ref="B11:N14"/>
    <mergeCell ref="L20:N20"/>
    <mergeCell ref="C24:H24"/>
    <mergeCell ref="C27:H27"/>
    <mergeCell ref="B17:N18"/>
  </mergeCells>
  <pageMargins left="0.70866141732283472" right="0.70866141732283472" top="0.74803149606299213" bottom="0.74803149606299213" header="0.31496062992125984" footer="0.31496062992125984"/>
  <pageSetup paperSize="9"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view="pageBreakPreview" topLeftCell="C30" zoomScale="80" zoomScaleNormal="80" zoomScaleSheetLayoutView="80" workbookViewId="0">
      <selection activeCell="E10" sqref="E10"/>
    </sheetView>
  </sheetViews>
  <sheetFormatPr defaultRowHeight="15"/>
  <cols>
    <col min="1" max="1" width="9.140625" style="68"/>
    <col min="2" max="2" width="0" style="68" hidden="1" customWidth="1"/>
    <col min="3" max="3" width="14.42578125" style="68" customWidth="1"/>
    <col min="4" max="4" width="86.42578125" style="5" bestFit="1" customWidth="1"/>
    <col min="5" max="217" width="9.140625" style="5"/>
    <col min="218" max="218" width="12.28515625" style="5" customWidth="1"/>
    <col min="219" max="219" width="60" style="5" customWidth="1"/>
    <col min="220" max="473" width="9.140625" style="5"/>
    <col min="474" max="474" width="12.28515625" style="5" customWidth="1"/>
    <col min="475" max="475" width="60" style="5" customWidth="1"/>
    <col min="476" max="729" width="9.140625" style="5"/>
    <col min="730" max="730" width="12.28515625" style="5" customWidth="1"/>
    <col min="731" max="731" width="60" style="5" customWidth="1"/>
    <col min="732" max="985" width="9.140625" style="5"/>
    <col min="986" max="986" width="12.28515625" style="5" customWidth="1"/>
    <col min="987" max="987" width="60" style="5" customWidth="1"/>
    <col min="988" max="1241" width="9.140625" style="5"/>
    <col min="1242" max="1242" width="12.28515625" style="5" customWidth="1"/>
    <col min="1243" max="1243" width="60" style="5" customWidth="1"/>
    <col min="1244" max="1497" width="9.140625" style="5"/>
    <col min="1498" max="1498" width="12.28515625" style="5" customWidth="1"/>
    <col min="1499" max="1499" width="60" style="5" customWidth="1"/>
    <col min="1500" max="1753" width="9.140625" style="5"/>
    <col min="1754" max="1754" width="12.28515625" style="5" customWidth="1"/>
    <col min="1755" max="1755" width="60" style="5" customWidth="1"/>
    <col min="1756" max="2009" width="9.140625" style="5"/>
    <col min="2010" max="2010" width="12.28515625" style="5" customWidth="1"/>
    <col min="2011" max="2011" width="60" style="5" customWidth="1"/>
    <col min="2012" max="2265" width="9.140625" style="5"/>
    <col min="2266" max="2266" width="12.28515625" style="5" customWidth="1"/>
    <col min="2267" max="2267" width="60" style="5" customWidth="1"/>
    <col min="2268" max="2521" width="9.140625" style="5"/>
    <col min="2522" max="2522" width="12.28515625" style="5" customWidth="1"/>
    <col min="2523" max="2523" width="60" style="5" customWidth="1"/>
    <col min="2524" max="2777" width="9.140625" style="5"/>
    <col min="2778" max="2778" width="12.28515625" style="5" customWidth="1"/>
    <col min="2779" max="2779" width="60" style="5" customWidth="1"/>
    <col min="2780" max="3033" width="9.140625" style="5"/>
    <col min="3034" max="3034" width="12.28515625" style="5" customWidth="1"/>
    <col min="3035" max="3035" width="60" style="5" customWidth="1"/>
    <col min="3036" max="3289" width="9.140625" style="5"/>
    <col min="3290" max="3290" width="12.28515625" style="5" customWidth="1"/>
    <col min="3291" max="3291" width="60" style="5" customWidth="1"/>
    <col min="3292" max="3545" width="9.140625" style="5"/>
    <col min="3546" max="3546" width="12.28515625" style="5" customWidth="1"/>
    <col min="3547" max="3547" width="60" style="5" customWidth="1"/>
    <col min="3548" max="3801" width="9.140625" style="5"/>
    <col min="3802" max="3802" width="12.28515625" style="5" customWidth="1"/>
    <col min="3803" max="3803" width="60" style="5" customWidth="1"/>
    <col min="3804" max="4057" width="9.140625" style="5"/>
    <col min="4058" max="4058" width="12.28515625" style="5" customWidth="1"/>
    <col min="4059" max="4059" width="60" style="5" customWidth="1"/>
    <col min="4060" max="4313" width="9.140625" style="5"/>
    <col min="4314" max="4314" width="12.28515625" style="5" customWidth="1"/>
    <col min="4315" max="4315" width="60" style="5" customWidth="1"/>
    <col min="4316" max="4569" width="9.140625" style="5"/>
    <col min="4570" max="4570" width="12.28515625" style="5" customWidth="1"/>
    <col min="4571" max="4571" width="60" style="5" customWidth="1"/>
    <col min="4572" max="4825" width="9.140625" style="5"/>
    <col min="4826" max="4826" width="12.28515625" style="5" customWidth="1"/>
    <col min="4827" max="4827" width="60" style="5" customWidth="1"/>
    <col min="4828" max="5081" width="9.140625" style="5"/>
    <col min="5082" max="5082" width="12.28515625" style="5" customWidth="1"/>
    <col min="5083" max="5083" width="60" style="5" customWidth="1"/>
    <col min="5084" max="5337" width="9.140625" style="5"/>
    <col min="5338" max="5338" width="12.28515625" style="5" customWidth="1"/>
    <col min="5339" max="5339" width="60" style="5" customWidth="1"/>
    <col min="5340" max="5593" width="9.140625" style="5"/>
    <col min="5594" max="5594" width="12.28515625" style="5" customWidth="1"/>
    <col min="5595" max="5595" width="60" style="5" customWidth="1"/>
    <col min="5596" max="5849" width="9.140625" style="5"/>
    <col min="5850" max="5850" width="12.28515625" style="5" customWidth="1"/>
    <col min="5851" max="5851" width="60" style="5" customWidth="1"/>
    <col min="5852" max="6105" width="9.140625" style="5"/>
    <col min="6106" max="6106" width="12.28515625" style="5" customWidth="1"/>
    <col min="6107" max="6107" width="60" style="5" customWidth="1"/>
    <col min="6108" max="6361" width="9.140625" style="5"/>
    <col min="6362" max="6362" width="12.28515625" style="5" customWidth="1"/>
    <col min="6363" max="6363" width="60" style="5" customWidth="1"/>
    <col min="6364" max="6617" width="9.140625" style="5"/>
    <col min="6618" max="6618" width="12.28515625" style="5" customWidth="1"/>
    <col min="6619" max="6619" width="60" style="5" customWidth="1"/>
    <col min="6620" max="6873" width="9.140625" style="5"/>
    <col min="6874" max="6874" width="12.28515625" style="5" customWidth="1"/>
    <col min="6875" max="6875" width="60" style="5" customWidth="1"/>
    <col min="6876" max="7129" width="9.140625" style="5"/>
    <col min="7130" max="7130" width="12.28515625" style="5" customWidth="1"/>
    <col min="7131" max="7131" width="60" style="5" customWidth="1"/>
    <col min="7132" max="7385" width="9.140625" style="5"/>
    <col min="7386" max="7386" width="12.28515625" style="5" customWidth="1"/>
    <col min="7387" max="7387" width="60" style="5" customWidth="1"/>
    <col min="7388" max="7641" width="9.140625" style="5"/>
    <col min="7642" max="7642" width="12.28515625" style="5" customWidth="1"/>
    <col min="7643" max="7643" width="60" style="5" customWidth="1"/>
    <col min="7644" max="7897" width="9.140625" style="5"/>
    <col min="7898" max="7898" width="12.28515625" style="5" customWidth="1"/>
    <col min="7899" max="7899" width="60" style="5" customWidth="1"/>
    <col min="7900" max="8153" width="9.140625" style="5"/>
    <col min="8154" max="8154" width="12.28515625" style="5" customWidth="1"/>
    <col min="8155" max="8155" width="60" style="5" customWidth="1"/>
    <col min="8156" max="8409" width="9.140625" style="5"/>
    <col min="8410" max="8410" width="12.28515625" style="5" customWidth="1"/>
    <col min="8411" max="8411" width="60" style="5" customWidth="1"/>
    <col min="8412" max="8665" width="9.140625" style="5"/>
    <col min="8666" max="8666" width="12.28515625" style="5" customWidth="1"/>
    <col min="8667" max="8667" width="60" style="5" customWidth="1"/>
    <col min="8668" max="8921" width="9.140625" style="5"/>
    <col min="8922" max="8922" width="12.28515625" style="5" customWidth="1"/>
    <col min="8923" max="8923" width="60" style="5" customWidth="1"/>
    <col min="8924" max="9177" width="9.140625" style="5"/>
    <col min="9178" max="9178" width="12.28515625" style="5" customWidth="1"/>
    <col min="9179" max="9179" width="60" style="5" customWidth="1"/>
    <col min="9180" max="9433" width="9.140625" style="5"/>
    <col min="9434" max="9434" width="12.28515625" style="5" customWidth="1"/>
    <col min="9435" max="9435" width="60" style="5" customWidth="1"/>
    <col min="9436" max="9689" width="9.140625" style="5"/>
    <col min="9690" max="9690" width="12.28515625" style="5" customWidth="1"/>
    <col min="9691" max="9691" width="60" style="5" customWidth="1"/>
    <col min="9692" max="9945" width="9.140625" style="5"/>
    <col min="9946" max="9946" width="12.28515625" style="5" customWidth="1"/>
    <col min="9947" max="9947" width="60" style="5" customWidth="1"/>
    <col min="9948" max="10201" width="9.140625" style="5"/>
    <col min="10202" max="10202" width="12.28515625" style="5" customWidth="1"/>
    <col min="10203" max="10203" width="60" style="5" customWidth="1"/>
    <col min="10204" max="10457" width="9.140625" style="5"/>
    <col min="10458" max="10458" width="12.28515625" style="5" customWidth="1"/>
    <col min="10459" max="10459" width="60" style="5" customWidth="1"/>
    <col min="10460" max="10713" width="9.140625" style="5"/>
    <col min="10714" max="10714" width="12.28515625" style="5" customWidth="1"/>
    <col min="10715" max="10715" width="60" style="5" customWidth="1"/>
    <col min="10716" max="10969" width="9.140625" style="5"/>
    <col min="10970" max="10970" width="12.28515625" style="5" customWidth="1"/>
    <col min="10971" max="10971" width="60" style="5" customWidth="1"/>
    <col min="10972" max="11225" width="9.140625" style="5"/>
    <col min="11226" max="11226" width="12.28515625" style="5" customWidth="1"/>
    <col min="11227" max="11227" width="60" style="5" customWidth="1"/>
    <col min="11228" max="11481" width="9.140625" style="5"/>
    <col min="11482" max="11482" width="12.28515625" style="5" customWidth="1"/>
    <col min="11483" max="11483" width="60" style="5" customWidth="1"/>
    <col min="11484" max="11737" width="9.140625" style="5"/>
    <col min="11738" max="11738" width="12.28515625" style="5" customWidth="1"/>
    <col min="11739" max="11739" width="60" style="5" customWidth="1"/>
    <col min="11740" max="11993" width="9.140625" style="5"/>
    <col min="11994" max="11994" width="12.28515625" style="5" customWidth="1"/>
    <col min="11995" max="11995" width="60" style="5" customWidth="1"/>
    <col min="11996" max="12249" width="9.140625" style="5"/>
    <col min="12250" max="12250" width="12.28515625" style="5" customWidth="1"/>
    <col min="12251" max="12251" width="60" style="5" customWidth="1"/>
    <col min="12252" max="12505" width="9.140625" style="5"/>
    <col min="12506" max="12506" width="12.28515625" style="5" customWidth="1"/>
    <col min="12507" max="12507" width="60" style="5" customWidth="1"/>
    <col min="12508" max="12761" width="9.140625" style="5"/>
    <col min="12762" max="12762" width="12.28515625" style="5" customWidth="1"/>
    <col min="12763" max="12763" width="60" style="5" customWidth="1"/>
    <col min="12764" max="13017" width="9.140625" style="5"/>
    <col min="13018" max="13018" width="12.28515625" style="5" customWidth="1"/>
    <col min="13019" max="13019" width="60" style="5" customWidth="1"/>
    <col min="13020" max="13273" width="9.140625" style="5"/>
    <col min="13274" max="13274" width="12.28515625" style="5" customWidth="1"/>
    <col min="13275" max="13275" width="60" style="5" customWidth="1"/>
    <col min="13276" max="13529" width="9.140625" style="5"/>
    <col min="13530" max="13530" width="12.28515625" style="5" customWidth="1"/>
    <col min="13531" max="13531" width="60" style="5" customWidth="1"/>
    <col min="13532" max="13785" width="9.140625" style="5"/>
    <col min="13786" max="13786" width="12.28515625" style="5" customWidth="1"/>
    <col min="13787" max="13787" width="60" style="5" customWidth="1"/>
    <col min="13788" max="14041" width="9.140625" style="5"/>
    <col min="14042" max="14042" width="12.28515625" style="5" customWidth="1"/>
    <col min="14043" max="14043" width="60" style="5" customWidth="1"/>
    <col min="14044" max="14297" width="9.140625" style="5"/>
    <col min="14298" max="14298" width="12.28515625" style="5" customWidth="1"/>
    <col min="14299" max="14299" width="60" style="5" customWidth="1"/>
    <col min="14300" max="14553" width="9.140625" style="5"/>
    <col min="14554" max="14554" width="12.28515625" style="5" customWidth="1"/>
    <col min="14555" max="14555" width="60" style="5" customWidth="1"/>
    <col min="14556" max="14809" width="9.140625" style="5"/>
    <col min="14810" max="14810" width="12.28515625" style="5" customWidth="1"/>
    <col min="14811" max="14811" width="60" style="5" customWidth="1"/>
    <col min="14812" max="15065" width="9.140625" style="5"/>
    <col min="15066" max="15066" width="12.28515625" style="5" customWidth="1"/>
    <col min="15067" max="15067" width="60" style="5" customWidth="1"/>
    <col min="15068" max="15321" width="9.140625" style="5"/>
    <col min="15322" max="15322" width="12.28515625" style="5" customWidth="1"/>
    <col min="15323" max="15323" width="60" style="5" customWidth="1"/>
    <col min="15324" max="15577" width="9.140625" style="5"/>
    <col min="15578" max="15578" width="12.28515625" style="5" customWidth="1"/>
    <col min="15579" max="15579" width="60" style="5" customWidth="1"/>
    <col min="15580" max="15833" width="9.140625" style="5"/>
    <col min="15834" max="15834" width="12.28515625" style="5" customWidth="1"/>
    <col min="15835" max="15835" width="60" style="5" customWidth="1"/>
    <col min="15836" max="16089" width="9.140625" style="5"/>
    <col min="16090" max="16090" width="12.28515625" style="5" customWidth="1"/>
    <col min="16091" max="16091" width="60" style="5" customWidth="1"/>
    <col min="16092" max="16384" width="9.140625" style="5"/>
  </cols>
  <sheetData>
    <row r="1" spans="1:4">
      <c r="A1" s="1725" t="s">
        <v>2745</v>
      </c>
      <c r="B1" s="1725"/>
      <c r="C1" s="1725"/>
      <c r="D1" s="1725"/>
    </row>
    <row r="2" spans="1:4">
      <c r="A2" s="1725"/>
      <c r="B2" s="1725"/>
      <c r="C2" s="1725"/>
      <c r="D2" s="1725"/>
    </row>
    <row r="3" spans="1:4" s="58" customFormat="1" ht="15.75">
      <c r="A3" s="1720" t="s">
        <v>492</v>
      </c>
      <c r="B3" s="1720"/>
      <c r="C3" s="1720"/>
      <c r="D3" s="1720"/>
    </row>
    <row r="4" spans="1:4" s="58" customFormat="1" ht="20.100000000000001" customHeight="1">
      <c r="A4" s="59">
        <v>1</v>
      </c>
      <c r="B4" s="59" t="s">
        <v>493</v>
      </c>
      <c r="C4" s="59" t="s">
        <v>494</v>
      </c>
      <c r="D4" s="64" t="s">
        <v>478</v>
      </c>
    </row>
    <row r="5" spans="1:4" s="58" customFormat="1" ht="20.100000000000001" customHeight="1">
      <c r="A5" s="59">
        <f>A4+1</f>
        <v>2</v>
      </c>
      <c r="B5" s="59" t="s">
        <v>493</v>
      </c>
      <c r="C5" s="59" t="s">
        <v>495</v>
      </c>
      <c r="D5" s="64" t="s">
        <v>489</v>
      </c>
    </row>
    <row r="6" spans="1:4" s="58" customFormat="1" ht="20.100000000000001" customHeight="1">
      <c r="A6" s="59">
        <v>3</v>
      </c>
      <c r="B6" s="59" t="s">
        <v>493</v>
      </c>
      <c r="C6" s="59" t="s">
        <v>496</v>
      </c>
      <c r="D6" s="64" t="s">
        <v>497</v>
      </c>
    </row>
    <row r="7" spans="1:4" s="58" customFormat="1" ht="20.100000000000001" customHeight="1">
      <c r="A7" s="1721" t="s">
        <v>498</v>
      </c>
      <c r="B7" s="1721"/>
      <c r="C7" s="1721"/>
      <c r="D7" s="1721"/>
    </row>
    <row r="8" spans="1:4" s="58" customFormat="1" ht="20.100000000000001" customHeight="1">
      <c r="A8" s="60">
        <v>4</v>
      </c>
      <c r="B8" s="59" t="s">
        <v>493</v>
      </c>
      <c r="C8" s="59" t="s">
        <v>95</v>
      </c>
      <c r="D8" s="65" t="s">
        <v>512</v>
      </c>
    </row>
    <row r="9" spans="1:4" s="58" customFormat="1" ht="20.100000000000001" customHeight="1">
      <c r="A9" s="60">
        <f>+A8+1</f>
        <v>5</v>
      </c>
      <c r="B9" s="60" t="s">
        <v>493</v>
      </c>
      <c r="C9" s="60" t="s">
        <v>96</v>
      </c>
      <c r="D9" s="66" t="s">
        <v>556</v>
      </c>
    </row>
    <row r="10" spans="1:4" s="58" customFormat="1" ht="20.100000000000001" customHeight="1">
      <c r="A10" s="60">
        <f>+A9+1</f>
        <v>6</v>
      </c>
      <c r="B10" s="59" t="s">
        <v>493</v>
      </c>
      <c r="C10" s="59" t="s">
        <v>97</v>
      </c>
      <c r="D10" s="65" t="s">
        <v>7</v>
      </c>
    </row>
    <row r="11" spans="1:4" s="58" customFormat="1" ht="20.100000000000001" customHeight="1">
      <c r="A11" s="60">
        <f t="shared" ref="A11:A31" si="0">+A10+1</f>
        <v>7</v>
      </c>
      <c r="B11" s="59" t="s">
        <v>493</v>
      </c>
      <c r="C11" s="59" t="s">
        <v>99</v>
      </c>
      <c r="D11" s="65" t="s">
        <v>571</v>
      </c>
    </row>
    <row r="12" spans="1:4" s="58" customFormat="1" ht="20.100000000000001" customHeight="1">
      <c r="A12" s="60">
        <f t="shared" si="0"/>
        <v>8</v>
      </c>
      <c r="B12" s="59" t="s">
        <v>493</v>
      </c>
      <c r="C12" s="59" t="s">
        <v>98</v>
      </c>
      <c r="D12" s="64" t="s">
        <v>784</v>
      </c>
    </row>
    <row r="13" spans="1:4" s="58" customFormat="1" ht="20.100000000000001" customHeight="1">
      <c r="A13" s="60">
        <f t="shared" si="0"/>
        <v>9</v>
      </c>
      <c r="B13" s="59" t="s">
        <v>493</v>
      </c>
      <c r="C13" s="59" t="s">
        <v>109</v>
      </c>
      <c r="D13" s="64" t="s">
        <v>10</v>
      </c>
    </row>
    <row r="14" spans="1:4" s="58" customFormat="1" ht="20.100000000000001" customHeight="1">
      <c r="A14" s="60">
        <f t="shared" si="0"/>
        <v>10</v>
      </c>
      <c r="B14" s="59" t="s">
        <v>493</v>
      </c>
      <c r="C14" s="60" t="s">
        <v>103</v>
      </c>
      <c r="D14" s="67" t="s">
        <v>788</v>
      </c>
    </row>
    <row r="15" spans="1:4" s="58" customFormat="1" ht="20.100000000000001" customHeight="1">
      <c r="A15" s="60">
        <f t="shared" si="0"/>
        <v>11</v>
      </c>
      <c r="B15" s="59" t="s">
        <v>493</v>
      </c>
      <c r="C15" s="59" t="s">
        <v>104</v>
      </c>
      <c r="D15" s="64" t="s">
        <v>613</v>
      </c>
    </row>
    <row r="16" spans="1:4" s="58" customFormat="1" ht="20.100000000000001" customHeight="1">
      <c r="A16" s="60">
        <f t="shared" si="0"/>
        <v>12</v>
      </c>
      <c r="B16" s="59" t="s">
        <v>493</v>
      </c>
      <c r="C16" s="59" t="s">
        <v>105</v>
      </c>
      <c r="D16" s="64" t="s">
        <v>785</v>
      </c>
    </row>
    <row r="17" spans="1:4" s="58" customFormat="1" ht="20.100000000000001" customHeight="1">
      <c r="A17" s="60">
        <f t="shared" si="0"/>
        <v>13</v>
      </c>
      <c r="B17" s="59" t="s">
        <v>493</v>
      </c>
      <c r="C17" s="59" t="s">
        <v>110</v>
      </c>
      <c r="D17" s="64" t="s">
        <v>610</v>
      </c>
    </row>
    <row r="18" spans="1:4" s="58" customFormat="1" ht="20.100000000000001" customHeight="1">
      <c r="A18" s="60">
        <f t="shared" si="0"/>
        <v>14</v>
      </c>
      <c r="B18" s="59" t="s">
        <v>493</v>
      </c>
      <c r="C18" s="59" t="s">
        <v>111</v>
      </c>
      <c r="D18" s="64" t="s">
        <v>786</v>
      </c>
    </row>
    <row r="19" spans="1:4" s="58" customFormat="1" ht="20.100000000000001" customHeight="1">
      <c r="A19" s="60">
        <f t="shared" si="0"/>
        <v>15</v>
      </c>
      <c r="B19" s="59" t="s">
        <v>493</v>
      </c>
      <c r="C19" s="59" t="s">
        <v>112</v>
      </c>
      <c r="D19" s="64" t="s">
        <v>787</v>
      </c>
    </row>
    <row r="20" spans="1:4" s="58" customFormat="1" ht="20.100000000000001" customHeight="1">
      <c r="A20" s="60">
        <f t="shared" si="0"/>
        <v>16</v>
      </c>
      <c r="B20" s="59" t="s">
        <v>493</v>
      </c>
      <c r="C20" s="59" t="s">
        <v>102</v>
      </c>
      <c r="D20" s="64" t="s">
        <v>77</v>
      </c>
    </row>
    <row r="21" spans="1:4" s="58" customFormat="1" ht="20.100000000000001" customHeight="1">
      <c r="A21" s="60">
        <f t="shared" si="0"/>
        <v>17</v>
      </c>
      <c r="B21" s="59" t="s">
        <v>493</v>
      </c>
      <c r="C21" s="59" t="s">
        <v>101</v>
      </c>
      <c r="D21" s="64" t="s">
        <v>513</v>
      </c>
    </row>
    <row r="22" spans="1:4" s="58" customFormat="1" ht="20.100000000000001" customHeight="1">
      <c r="A22" s="60">
        <f t="shared" si="0"/>
        <v>18</v>
      </c>
      <c r="B22" s="59" t="s">
        <v>493</v>
      </c>
      <c r="C22" s="59" t="s">
        <v>106</v>
      </c>
      <c r="D22" s="64" t="s">
        <v>25</v>
      </c>
    </row>
    <row r="23" spans="1:4" s="58" customFormat="1" ht="20.100000000000001" customHeight="1">
      <c r="A23" s="60">
        <f t="shared" si="0"/>
        <v>19</v>
      </c>
      <c r="B23" s="59" t="s">
        <v>493</v>
      </c>
      <c r="C23" s="59" t="s">
        <v>100</v>
      </c>
      <c r="D23" s="67" t="s">
        <v>499</v>
      </c>
    </row>
    <row r="24" spans="1:4" s="58" customFormat="1" ht="20.100000000000001" customHeight="1">
      <c r="A24" s="60">
        <f t="shared" si="0"/>
        <v>20</v>
      </c>
      <c r="B24" s="59" t="s">
        <v>493</v>
      </c>
      <c r="C24" s="59" t="s">
        <v>107</v>
      </c>
      <c r="D24" s="67" t="s">
        <v>398</v>
      </c>
    </row>
    <row r="25" spans="1:4" s="58" customFormat="1" ht="20.100000000000001" customHeight="1">
      <c r="A25" s="60">
        <f t="shared" si="0"/>
        <v>21</v>
      </c>
      <c r="B25" s="59" t="s">
        <v>493</v>
      </c>
      <c r="C25" s="59" t="s">
        <v>114</v>
      </c>
      <c r="D25" s="67" t="s">
        <v>34</v>
      </c>
    </row>
    <row r="26" spans="1:4" s="58" customFormat="1" ht="20.100000000000001" customHeight="1">
      <c r="A26" s="60">
        <f t="shared" si="0"/>
        <v>22</v>
      </c>
      <c r="B26" s="59" t="s">
        <v>493</v>
      </c>
      <c r="C26" s="59" t="s">
        <v>113</v>
      </c>
      <c r="D26" s="67" t="s">
        <v>801</v>
      </c>
    </row>
    <row r="27" spans="1:4" s="58" customFormat="1" ht="20.100000000000001" customHeight="1">
      <c r="A27" s="60">
        <f t="shared" si="0"/>
        <v>23</v>
      </c>
      <c r="B27" s="59" t="s">
        <v>493</v>
      </c>
      <c r="C27" s="59" t="s">
        <v>115</v>
      </c>
      <c r="D27" s="67" t="s">
        <v>35</v>
      </c>
    </row>
    <row r="28" spans="1:4" s="58" customFormat="1" ht="20.100000000000001" customHeight="1">
      <c r="A28" s="60">
        <f t="shared" si="0"/>
        <v>24</v>
      </c>
      <c r="B28" s="59" t="s">
        <v>493</v>
      </c>
      <c r="C28" s="59" t="s">
        <v>116</v>
      </c>
      <c r="D28" s="67" t="s">
        <v>36</v>
      </c>
    </row>
    <row r="29" spans="1:4" s="58" customFormat="1" ht="20.100000000000001" customHeight="1">
      <c r="A29" s="60">
        <f t="shared" si="0"/>
        <v>25</v>
      </c>
      <c r="B29" s="59" t="s">
        <v>493</v>
      </c>
      <c r="C29" s="59" t="s">
        <v>117</v>
      </c>
      <c r="D29" s="67" t="s">
        <v>814</v>
      </c>
    </row>
    <row r="30" spans="1:4" s="58" customFormat="1" ht="20.100000000000001" customHeight="1">
      <c r="A30" s="60">
        <f t="shared" si="0"/>
        <v>26</v>
      </c>
      <c r="B30" s="59" t="s">
        <v>493</v>
      </c>
      <c r="C30" s="59" t="s">
        <v>118</v>
      </c>
      <c r="D30" s="67" t="s">
        <v>852</v>
      </c>
    </row>
    <row r="31" spans="1:4" s="58" customFormat="1" ht="20.100000000000001" customHeight="1" thickBot="1">
      <c r="A31" s="60">
        <f t="shared" si="0"/>
        <v>27</v>
      </c>
      <c r="B31" s="59" t="s">
        <v>493</v>
      </c>
      <c r="C31" s="59" t="s">
        <v>119</v>
      </c>
      <c r="D31" s="67" t="s">
        <v>514</v>
      </c>
    </row>
    <row r="32" spans="1:4" s="58" customFormat="1" ht="20.100000000000001" customHeight="1" thickBot="1">
      <c r="A32" s="1722" t="s">
        <v>500</v>
      </c>
      <c r="B32" s="1723"/>
      <c r="C32" s="1723"/>
      <c r="D32" s="1724"/>
    </row>
    <row r="33" spans="1:4" s="58" customFormat="1" ht="20.100000000000001" customHeight="1">
      <c r="A33" s="59">
        <f>+A31+1</f>
        <v>28</v>
      </c>
      <c r="B33" s="62" t="s">
        <v>493</v>
      </c>
      <c r="C33" s="62" t="s">
        <v>501</v>
      </c>
      <c r="D33" s="67" t="s">
        <v>429</v>
      </c>
    </row>
    <row r="34" spans="1:4" s="58" customFormat="1" ht="20.100000000000001" customHeight="1">
      <c r="A34" s="59">
        <f>+A33+1</f>
        <v>29</v>
      </c>
      <c r="B34" s="59" t="s">
        <v>493</v>
      </c>
      <c r="C34" s="59" t="s">
        <v>502</v>
      </c>
      <c r="D34" s="67" t="s">
        <v>432</v>
      </c>
    </row>
    <row r="35" spans="1:4" s="58" customFormat="1" ht="20.100000000000001" customHeight="1">
      <c r="A35" s="59">
        <f t="shared" ref="A35:A44" si="1">+A34+1</f>
        <v>30</v>
      </c>
      <c r="B35" s="59" t="s">
        <v>493</v>
      </c>
      <c r="C35" s="59" t="s">
        <v>503</v>
      </c>
      <c r="D35" s="67" t="s">
        <v>436</v>
      </c>
    </row>
    <row r="36" spans="1:4" s="58" customFormat="1" ht="20.100000000000001" customHeight="1">
      <c r="A36" s="59">
        <f t="shared" si="1"/>
        <v>31</v>
      </c>
      <c r="B36" s="59" t="s">
        <v>493</v>
      </c>
      <c r="C36" s="63" t="s">
        <v>504</v>
      </c>
      <c r="D36" s="67" t="s">
        <v>447</v>
      </c>
    </row>
    <row r="37" spans="1:4" s="58" customFormat="1" ht="20.100000000000001" customHeight="1">
      <c r="A37" s="59">
        <f t="shared" si="1"/>
        <v>32</v>
      </c>
      <c r="B37" s="59" t="s">
        <v>493</v>
      </c>
      <c r="C37" s="59" t="s">
        <v>505</v>
      </c>
      <c r="D37" s="67" t="s">
        <v>442</v>
      </c>
    </row>
    <row r="38" spans="1:4" s="58" customFormat="1" ht="20.100000000000001" customHeight="1">
      <c r="A38" s="59">
        <f t="shared" si="1"/>
        <v>33</v>
      </c>
      <c r="B38" s="59" t="s">
        <v>493</v>
      </c>
      <c r="C38" s="59" t="s">
        <v>506</v>
      </c>
      <c r="D38" s="67" t="s">
        <v>443</v>
      </c>
    </row>
    <row r="39" spans="1:4" s="58" customFormat="1" ht="20.100000000000001" customHeight="1">
      <c r="A39" s="59">
        <f t="shared" si="1"/>
        <v>34</v>
      </c>
      <c r="B39" s="59" t="s">
        <v>493</v>
      </c>
      <c r="C39" s="59" t="s">
        <v>507</v>
      </c>
      <c r="D39" s="67" t="s">
        <v>448</v>
      </c>
    </row>
    <row r="40" spans="1:4" s="58" customFormat="1" ht="20.100000000000001" customHeight="1">
      <c r="A40" s="59">
        <f t="shared" si="1"/>
        <v>35</v>
      </c>
      <c r="B40" s="59" t="s">
        <v>493</v>
      </c>
      <c r="C40" s="59" t="s">
        <v>508</v>
      </c>
      <c r="D40" s="67" t="s">
        <v>454</v>
      </c>
    </row>
    <row r="41" spans="1:4" s="58" customFormat="1" ht="20.100000000000001" customHeight="1">
      <c r="A41" s="59">
        <f t="shared" si="1"/>
        <v>36</v>
      </c>
      <c r="B41" s="59" t="s">
        <v>493</v>
      </c>
      <c r="C41" s="59" t="s">
        <v>509</v>
      </c>
      <c r="D41" s="67" t="s">
        <v>455</v>
      </c>
    </row>
    <row r="42" spans="1:4" s="58" customFormat="1" ht="20.100000000000001" customHeight="1">
      <c r="A42" s="59">
        <f t="shared" si="1"/>
        <v>37</v>
      </c>
      <c r="B42" s="59" t="s">
        <v>493</v>
      </c>
      <c r="C42" s="59" t="s">
        <v>510</v>
      </c>
      <c r="D42" s="67" t="s">
        <v>460</v>
      </c>
    </row>
    <row r="43" spans="1:4" s="58" customFormat="1" ht="20.100000000000001" customHeight="1">
      <c r="A43" s="59">
        <f t="shared" si="1"/>
        <v>38</v>
      </c>
      <c r="B43" s="59" t="s">
        <v>493</v>
      </c>
      <c r="C43" s="59" t="s">
        <v>511</v>
      </c>
      <c r="D43" s="67" t="s">
        <v>427</v>
      </c>
    </row>
    <row r="44" spans="1:4" s="58" customFormat="1" ht="20.100000000000001" customHeight="1">
      <c r="A44" s="59">
        <f t="shared" si="1"/>
        <v>39</v>
      </c>
      <c r="B44" s="59" t="s">
        <v>493</v>
      </c>
      <c r="C44" s="59" t="s">
        <v>515</v>
      </c>
      <c r="D44" s="67" t="s">
        <v>461</v>
      </c>
    </row>
  </sheetData>
  <mergeCells count="4">
    <mergeCell ref="A3:D3"/>
    <mergeCell ref="A7:D7"/>
    <mergeCell ref="A32:D32"/>
    <mergeCell ref="A1:D2"/>
  </mergeCells>
  <printOptions horizontalCentered="1"/>
  <pageMargins left="0.28000000000000003" right="0.24" top="0.35" bottom="0.74803149606299202" header="0.31496062992126" footer="0.31496062992126"/>
  <pageSetup paperSize="9" scale="7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I18"/>
  <sheetViews>
    <sheetView showGridLines="0" view="pageBreakPreview" zoomScale="90" zoomScaleNormal="100" zoomScaleSheetLayoutView="90" workbookViewId="0">
      <selection activeCell="D7" sqref="D7"/>
    </sheetView>
  </sheetViews>
  <sheetFormatPr defaultColWidth="9.140625" defaultRowHeight="15"/>
  <cols>
    <col min="1" max="1" width="45.7109375" style="776" bestFit="1" customWidth="1"/>
    <col min="2" max="2" width="9.140625" style="776"/>
    <col min="3" max="3" width="19" style="776" bestFit="1" customWidth="1"/>
    <col min="4" max="4" width="19" style="776" customWidth="1"/>
    <col min="5" max="5" width="17.5703125" style="776" bestFit="1" customWidth="1"/>
    <col min="6" max="6" width="9.140625" style="776"/>
    <col min="7" max="9" width="0" style="776" hidden="1" customWidth="1"/>
    <col min="10" max="16384" width="9.140625" style="776"/>
  </cols>
  <sheetData>
    <row r="1" spans="1:9">
      <c r="A1" s="1356" t="s">
        <v>1158</v>
      </c>
      <c r="B1" s="1303"/>
      <c r="C1" s="1303"/>
      <c r="D1" s="1303"/>
      <c r="E1" s="1357" t="s">
        <v>862</v>
      </c>
    </row>
    <row r="2" spans="1:9">
      <c r="A2" s="1358" t="s">
        <v>902</v>
      </c>
      <c r="B2" s="1303"/>
      <c r="C2" s="1303"/>
      <c r="D2" s="1303"/>
      <c r="E2" s="1303"/>
      <c r="G2" s="777" t="e">
        <f>+#REF!*0.105</f>
        <v>#REF!</v>
      </c>
      <c r="H2" s="778"/>
      <c r="I2" s="778"/>
    </row>
    <row r="3" spans="1:9" ht="15.75" customHeight="1">
      <c r="A3" s="2091" t="s">
        <v>48</v>
      </c>
      <c r="B3" s="2092"/>
      <c r="C3" s="2093" t="s">
        <v>1864</v>
      </c>
      <c r="D3" s="1859" t="s">
        <v>1847</v>
      </c>
      <c r="E3" s="1303"/>
      <c r="F3" s="777"/>
      <c r="G3" s="778"/>
      <c r="H3" s="778"/>
    </row>
    <row r="4" spans="1:9">
      <c r="A4" s="2091"/>
      <c r="B4" s="2092"/>
      <c r="C4" s="2093"/>
      <c r="D4" s="1859"/>
      <c r="E4" s="1303"/>
      <c r="F4" s="777"/>
      <c r="G4" s="778"/>
      <c r="H4" s="778"/>
    </row>
    <row r="5" spans="1:9">
      <c r="A5" s="1359" t="s">
        <v>405</v>
      </c>
      <c r="B5" s="1359"/>
      <c r="C5" s="1360"/>
      <c r="D5" s="1360"/>
      <c r="E5" s="1303"/>
      <c r="F5" s="777"/>
      <c r="G5" s="778">
        <f>+F5/2</f>
        <v>0</v>
      </c>
      <c r="H5" s="778">
        <f>+G5*0.105</f>
        <v>0</v>
      </c>
    </row>
    <row r="6" spans="1:9">
      <c r="A6" s="1359"/>
      <c r="B6" s="1360" t="s">
        <v>370</v>
      </c>
      <c r="C6" s="1364">
        <f>'F9-1'!H7</f>
        <v>2214.1272096000002</v>
      </c>
      <c r="D6" s="1364">
        <f>'F9-1'!H13</f>
        <v>2214.1272096000002</v>
      </c>
      <c r="E6" s="1303"/>
      <c r="F6" s="777"/>
      <c r="G6" s="778">
        <f>+F6/2</f>
        <v>0</v>
      </c>
      <c r="H6" s="778">
        <f>+G6*0.105</f>
        <v>0</v>
      </c>
    </row>
    <row r="7" spans="1:9">
      <c r="A7" s="1359"/>
      <c r="B7" s="1360" t="s">
        <v>226</v>
      </c>
      <c r="C7" s="1361"/>
      <c r="D7" s="1361"/>
      <c r="E7" s="1303"/>
    </row>
    <row r="8" spans="1:9">
      <c r="A8" s="1359"/>
      <c r="B8" s="1359"/>
      <c r="C8" s="1362"/>
      <c r="D8" s="1362"/>
      <c r="E8" s="1303"/>
    </row>
    <row r="9" spans="1:9">
      <c r="A9" s="1359" t="s">
        <v>364</v>
      </c>
      <c r="B9" s="1359"/>
      <c r="C9" s="1361"/>
      <c r="D9" s="1361"/>
      <c r="E9" s="1303"/>
    </row>
    <row r="10" spans="1:9">
      <c r="A10" s="1359" t="s">
        <v>365</v>
      </c>
      <c r="B10" s="1359"/>
      <c r="C10" s="1362"/>
      <c r="D10" s="1362"/>
      <c r="E10" s="1303"/>
    </row>
    <row r="11" spans="1:9">
      <c r="A11" s="1359" t="s">
        <v>366</v>
      </c>
      <c r="B11" s="1359"/>
      <c r="C11" s="1361"/>
      <c r="D11" s="1361"/>
      <c r="E11" s="1303"/>
    </row>
    <row r="12" spans="1:9">
      <c r="A12" s="1359" t="s">
        <v>367</v>
      </c>
      <c r="B12" s="1359"/>
      <c r="C12" s="1363">
        <f>Interest!D14</f>
        <v>3673.8529644413857</v>
      </c>
      <c r="D12" s="1363">
        <f>Interest!H14</f>
        <v>4196.9961467219164</v>
      </c>
      <c r="E12" s="1303"/>
    </row>
    <row r="13" spans="1:9">
      <c r="A13" s="1359" t="s">
        <v>368</v>
      </c>
      <c r="B13" s="1359"/>
      <c r="C13" s="1361"/>
      <c r="D13" s="1361"/>
      <c r="E13" s="1303"/>
    </row>
    <row r="14" spans="1:9">
      <c r="A14" s="1359" t="s">
        <v>369</v>
      </c>
      <c r="B14" s="1359"/>
      <c r="C14" s="1363">
        <f>C12</f>
        <v>3673.8529644413857</v>
      </c>
      <c r="D14" s="1363">
        <f>D12</f>
        <v>4196.9961467219164</v>
      </c>
      <c r="E14" s="1303"/>
    </row>
    <row r="15" spans="1:9">
      <c r="A15" s="1303"/>
      <c r="B15" s="1303"/>
      <c r="C15" s="1303"/>
      <c r="D15" s="1303"/>
      <c r="E15" s="1303"/>
    </row>
    <row r="16" spans="1:9">
      <c r="A16" s="1303"/>
      <c r="B16" s="1303"/>
      <c r="C16" s="1303"/>
      <c r="D16" s="1303"/>
      <c r="E16" s="1303"/>
    </row>
    <row r="17" spans="1:5">
      <c r="A17" s="1303"/>
      <c r="B17" s="1303"/>
      <c r="C17" s="1303"/>
      <c r="D17" s="1303"/>
      <c r="E17" s="1303"/>
    </row>
    <row r="18" spans="1:5">
      <c r="A18" s="1303"/>
      <c r="B18" s="2074" t="s">
        <v>401</v>
      </c>
      <c r="C18" s="2074"/>
      <c r="D18" s="2074"/>
      <c r="E18" s="1335"/>
    </row>
  </sheetData>
  <mergeCells count="5">
    <mergeCell ref="A3:A4"/>
    <mergeCell ref="B3:B4"/>
    <mergeCell ref="C3:C4"/>
    <mergeCell ref="B18:D18"/>
    <mergeCell ref="D3:D4"/>
  </mergeCells>
  <pageMargins left="0.70866141732283472" right="0.70866141732283472" top="0.74803149606299213" bottom="0.74803149606299213" header="0.31496062992125984" footer="0.31496062992125984"/>
  <pageSetup paperSize="9" scale="7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sheetPr>
  <dimension ref="A1:L45"/>
  <sheetViews>
    <sheetView showGridLines="0" view="pageBreakPreview" zoomScale="80" zoomScaleNormal="90" zoomScaleSheetLayoutView="80" workbookViewId="0">
      <pane xSplit="2" ySplit="1" topLeftCell="D20" activePane="bottomRight" state="frozen"/>
      <selection pane="topRight" activeCell="C1" sqref="C1"/>
      <selection pane="bottomLeft" activeCell="A2" sqref="A2"/>
      <selection pane="bottomRight" activeCell="E38" sqref="E38"/>
    </sheetView>
  </sheetViews>
  <sheetFormatPr defaultColWidth="9.140625" defaultRowHeight="15"/>
  <cols>
    <col min="1" max="1" width="7.85546875" style="975" customWidth="1"/>
    <col min="2" max="2" width="45.85546875" style="975" customWidth="1"/>
    <col min="3" max="3" width="13.5703125" style="975" customWidth="1"/>
    <col min="4" max="4" width="12.28515625" style="975" customWidth="1"/>
    <col min="5" max="5" width="14.140625" style="975" customWidth="1"/>
    <col min="6" max="7" width="11.140625" style="975" customWidth="1"/>
    <col min="8" max="8" width="17.28515625" style="975" bestFit="1" customWidth="1"/>
    <col min="9" max="10" width="15.42578125" style="975" customWidth="1"/>
    <col min="11" max="11" width="15.85546875" style="975" customWidth="1"/>
    <col min="12" max="12" width="13.85546875" style="975" customWidth="1"/>
    <col min="13" max="16384" width="9.140625" style="975"/>
  </cols>
  <sheetData>
    <row r="1" spans="1:12" ht="21" customHeight="1">
      <c r="A1" s="2094" t="s">
        <v>1158</v>
      </c>
      <c r="B1" s="2095"/>
      <c r="C1" s="2095"/>
      <c r="D1" s="2095"/>
      <c r="E1" s="2095"/>
      <c r="F1" s="2095"/>
      <c r="G1" s="2095"/>
      <c r="H1" s="2095"/>
      <c r="I1" s="2095"/>
      <c r="J1" s="2095"/>
      <c r="K1" s="974"/>
      <c r="L1" s="974"/>
    </row>
    <row r="2" spans="1:12" ht="21" customHeight="1">
      <c r="A2" s="976" t="s">
        <v>610</v>
      </c>
      <c r="B2" s="976"/>
      <c r="C2" s="977"/>
      <c r="D2" s="978"/>
      <c r="E2" s="978"/>
      <c r="F2" s="978"/>
      <c r="G2" s="978"/>
      <c r="H2" s="978"/>
      <c r="I2" s="978"/>
      <c r="J2" s="978"/>
      <c r="K2" s="978"/>
      <c r="L2" s="979" t="s">
        <v>262</v>
      </c>
    </row>
    <row r="3" spans="1:12" ht="21" customHeight="1">
      <c r="A3" s="975" t="s">
        <v>13</v>
      </c>
      <c r="B3" s="980"/>
      <c r="G3" s="980"/>
      <c r="K3" s="2115"/>
      <c r="L3" s="2115"/>
    </row>
    <row r="4" spans="1:12">
      <c r="A4" s="2116" t="s">
        <v>261</v>
      </c>
      <c r="B4" s="2096" t="s">
        <v>48</v>
      </c>
      <c r="C4" s="2129" t="s">
        <v>1864</v>
      </c>
      <c r="D4" s="2130"/>
      <c r="E4" s="2130"/>
      <c r="F4" s="2131"/>
      <c r="G4" s="2128" t="s">
        <v>1847</v>
      </c>
      <c r="H4" s="2128"/>
      <c r="I4" s="2128"/>
      <c r="J4" s="2128"/>
      <c r="K4" s="2128" t="s">
        <v>1841</v>
      </c>
      <c r="L4" s="2128"/>
    </row>
    <row r="5" spans="1:12" ht="45">
      <c r="A5" s="2116"/>
      <c r="B5" s="2097"/>
      <c r="C5" s="981" t="s">
        <v>199</v>
      </c>
      <c r="D5" s="981" t="s">
        <v>200</v>
      </c>
      <c r="E5" s="981" t="s">
        <v>201</v>
      </c>
      <c r="F5" s="982" t="s">
        <v>208</v>
      </c>
      <c r="G5" s="981" t="s">
        <v>199</v>
      </c>
      <c r="H5" s="981" t="s">
        <v>200</v>
      </c>
      <c r="I5" s="981" t="s">
        <v>201</v>
      </c>
      <c r="J5" s="982" t="s">
        <v>208</v>
      </c>
      <c r="K5" s="981" t="s">
        <v>201</v>
      </c>
      <c r="L5" s="982" t="s">
        <v>208</v>
      </c>
    </row>
    <row r="6" spans="1:12" ht="17.25">
      <c r="A6" s="983"/>
      <c r="B6" s="984" t="s">
        <v>903</v>
      </c>
      <c r="C6" s="2112" t="s">
        <v>931</v>
      </c>
      <c r="D6" s="2113"/>
      <c r="E6" s="2113"/>
      <c r="F6" s="2113"/>
      <c r="G6" s="2113"/>
      <c r="H6" s="2113"/>
      <c r="I6" s="2113"/>
      <c r="J6" s="2113"/>
      <c r="K6" s="2113"/>
      <c r="L6" s="2114"/>
    </row>
    <row r="7" spans="1:12">
      <c r="A7" s="985"/>
      <c r="B7" s="984" t="s">
        <v>68</v>
      </c>
      <c r="C7" s="986"/>
      <c r="D7" s="986"/>
      <c r="E7" s="986"/>
      <c r="F7" s="986"/>
      <c r="G7" s="986"/>
      <c r="H7" s="986"/>
      <c r="I7" s="986"/>
      <c r="J7" s="986"/>
      <c r="K7" s="237"/>
      <c r="L7" s="237"/>
    </row>
    <row r="8" spans="1:12" ht="17.25">
      <c r="A8" s="987" t="s">
        <v>904</v>
      </c>
    </row>
    <row r="9" spans="1:12" ht="17.25">
      <c r="A9" s="987" t="s">
        <v>905</v>
      </c>
    </row>
    <row r="10" spans="1:12">
      <c r="A10" s="975" t="s">
        <v>611</v>
      </c>
      <c r="B10" s="980"/>
      <c r="G10" s="2111" t="s">
        <v>320</v>
      </c>
      <c r="H10" s="2111"/>
    </row>
    <row r="11" spans="1:12" ht="18" customHeight="1">
      <c r="A11" s="2106" t="s">
        <v>261</v>
      </c>
      <c r="B11" s="2117" t="s">
        <v>48</v>
      </c>
      <c r="C11" s="2120" t="s">
        <v>1864</v>
      </c>
      <c r="D11" s="2121"/>
      <c r="E11" s="2124" t="s">
        <v>1847</v>
      </c>
      <c r="F11" s="2125"/>
      <c r="G11" s="2107" t="s">
        <v>1865</v>
      </c>
      <c r="H11" s="2108"/>
      <c r="I11" s="2108"/>
      <c r="J11" s="2108"/>
      <c r="K11" s="2108"/>
      <c r="L11" s="2109"/>
    </row>
    <row r="12" spans="1:12">
      <c r="A12" s="2106"/>
      <c r="B12" s="2118"/>
      <c r="C12" s="2122"/>
      <c r="D12" s="2123"/>
      <c r="E12" s="2126"/>
      <c r="F12" s="2127"/>
      <c r="G12" s="2106" t="s">
        <v>1841</v>
      </c>
      <c r="H12" s="2106"/>
      <c r="I12" s="2106" t="s">
        <v>1842</v>
      </c>
      <c r="J12" s="2106"/>
      <c r="K12" s="2106" t="s">
        <v>1843</v>
      </c>
      <c r="L12" s="2106"/>
    </row>
    <row r="13" spans="1:12">
      <c r="A13" s="2106"/>
      <c r="B13" s="2119"/>
      <c r="C13" s="1022" t="s">
        <v>199</v>
      </c>
      <c r="D13" s="1023" t="s">
        <v>221</v>
      </c>
      <c r="E13" s="1022" t="s">
        <v>199</v>
      </c>
      <c r="F13" s="1023" t="s">
        <v>221</v>
      </c>
      <c r="G13" s="1022" t="s">
        <v>199</v>
      </c>
      <c r="H13" s="1023" t="s">
        <v>221</v>
      </c>
      <c r="I13" s="1022" t="s">
        <v>199</v>
      </c>
      <c r="J13" s="1023" t="s">
        <v>221</v>
      </c>
      <c r="K13" s="1022" t="s">
        <v>199</v>
      </c>
      <c r="L13" s="1023" t="s">
        <v>221</v>
      </c>
    </row>
    <row r="14" spans="1:12">
      <c r="A14" s="1024"/>
      <c r="B14" s="1025"/>
      <c r="C14" s="1026"/>
      <c r="D14" s="1027"/>
      <c r="E14" s="1027"/>
      <c r="F14" s="1027"/>
      <c r="G14" s="1027"/>
      <c r="H14" s="1027"/>
      <c r="I14" s="1027"/>
      <c r="J14" s="1027"/>
      <c r="K14" s="1027"/>
      <c r="L14" s="1027"/>
    </row>
    <row r="15" spans="1:12">
      <c r="A15" s="1028">
        <v>1</v>
      </c>
      <c r="B15" s="1029" t="s">
        <v>609</v>
      </c>
      <c r="C15" s="1026"/>
      <c r="D15" s="1030">
        <f>D27+D28</f>
        <v>190.51</v>
      </c>
      <c r="E15" s="1030"/>
      <c r="F15" s="1030">
        <f>H27+H28</f>
        <v>231.52192122000002</v>
      </c>
      <c r="G15" s="1030"/>
      <c r="H15" s="1030">
        <f>I27+I28</f>
        <v>294.11995240191129</v>
      </c>
      <c r="I15" s="1027"/>
      <c r="J15" s="1365">
        <f>J27+J28</f>
        <v>340.62745440000003</v>
      </c>
      <c r="K15" s="1027"/>
      <c r="L15" s="1365">
        <f>K27+K28</f>
        <v>380.77394848</v>
      </c>
    </row>
    <row r="16" spans="1:12">
      <c r="A16" s="1028">
        <v>2</v>
      </c>
      <c r="B16" s="1024" t="s">
        <v>612</v>
      </c>
      <c r="C16" s="1026"/>
      <c r="D16" s="1026"/>
      <c r="E16" s="1031"/>
      <c r="F16" s="1031"/>
      <c r="G16" s="1031"/>
      <c r="H16" s="1031"/>
      <c r="I16" s="1027"/>
      <c r="J16" s="1027"/>
      <c r="K16" s="1027"/>
      <c r="L16" s="1027"/>
    </row>
    <row r="17" spans="1:12">
      <c r="A17" s="1028">
        <v>3</v>
      </c>
      <c r="B17" s="1024" t="s">
        <v>612</v>
      </c>
      <c r="C17" s="1026"/>
      <c r="D17" s="1026"/>
      <c r="E17" s="1031"/>
      <c r="F17" s="1031"/>
      <c r="G17" s="1031"/>
      <c r="H17" s="1031"/>
      <c r="I17" s="1027"/>
      <c r="J17" s="1027"/>
      <c r="K17" s="1027"/>
      <c r="L17" s="1027"/>
    </row>
    <row r="18" spans="1:12">
      <c r="A18" s="1025" t="s">
        <v>68</v>
      </c>
      <c r="B18" s="1024"/>
      <c r="C18" s="1026"/>
      <c r="D18" s="1026"/>
      <c r="E18" s="1031"/>
      <c r="F18" s="1031"/>
      <c r="G18" s="1031"/>
      <c r="H18" s="1031"/>
      <c r="I18" s="1027"/>
      <c r="J18" s="1027"/>
      <c r="K18" s="1027"/>
      <c r="L18" s="1027"/>
    </row>
    <row r="19" spans="1:12">
      <c r="A19" s="1032"/>
      <c r="B19" s="1032"/>
      <c r="C19" s="1032"/>
      <c r="D19" s="1032"/>
      <c r="E19" s="1032"/>
      <c r="F19" s="1032"/>
      <c r="G19" s="1032"/>
      <c r="H19" s="1032"/>
      <c r="I19" s="1032"/>
      <c r="J19" s="1032"/>
      <c r="K19" s="1032"/>
      <c r="L19" s="1032"/>
    </row>
    <row r="20" spans="1:12">
      <c r="A20" s="988" t="s">
        <v>793</v>
      </c>
      <c r="H20" s="975" t="s">
        <v>320</v>
      </c>
    </row>
    <row r="21" spans="1:12" ht="34.5" customHeight="1">
      <c r="A21" s="2104"/>
      <c r="B21" s="2105" t="s">
        <v>48</v>
      </c>
      <c r="C21" s="2099" t="s">
        <v>1846</v>
      </c>
      <c r="D21" s="2100"/>
      <c r="E21" s="2101" t="s">
        <v>1847</v>
      </c>
      <c r="F21" s="2102"/>
      <c r="G21" s="2102"/>
      <c r="H21" s="2103"/>
      <c r="I21" s="2110" t="s">
        <v>1851</v>
      </c>
      <c r="J21" s="2110"/>
      <c r="K21" s="2110"/>
    </row>
    <row r="22" spans="1:12" ht="47.25">
      <c r="A22" s="2104"/>
      <c r="B22" s="2105"/>
      <c r="C22" s="1637" t="s">
        <v>1160</v>
      </c>
      <c r="D22" s="989" t="s">
        <v>230</v>
      </c>
      <c r="E22" s="1637" t="s">
        <v>1160</v>
      </c>
      <c r="F22" s="1637" t="s">
        <v>1866</v>
      </c>
      <c r="G22" s="1637" t="s">
        <v>1867</v>
      </c>
      <c r="H22" s="990" t="s">
        <v>1165</v>
      </c>
      <c r="I22" s="1637" t="s">
        <v>1841</v>
      </c>
      <c r="J22" s="1637" t="s">
        <v>1842</v>
      </c>
      <c r="K22" s="1637" t="s">
        <v>1843</v>
      </c>
    </row>
    <row r="23" spans="1:12">
      <c r="A23" s="985">
        <v>1</v>
      </c>
      <c r="B23" s="991" t="s">
        <v>791</v>
      </c>
      <c r="C23" s="994">
        <f>'F7-1'!C12-'F7-1'!C16</f>
        <v>1629.99</v>
      </c>
      <c r="D23" s="994">
        <f>'F7-1'!D12-'F7-1'!D16</f>
        <v>719.66556200000014</v>
      </c>
      <c r="E23" s="994">
        <f>'F7-1'!E12-'F7-1'!E16</f>
        <v>1699.42</v>
      </c>
      <c r="F23" s="994"/>
      <c r="G23" s="994"/>
      <c r="H23" s="994">
        <f>'F7-1'!H12-'F7-1'!H16</f>
        <v>1363.4958973999999</v>
      </c>
      <c r="I23" s="994">
        <f>'F7-1'!I12-'F7-1'!I16</f>
        <v>1513.0397620095564</v>
      </c>
      <c r="J23" s="994">
        <f>'F7-1'!J12-'F7-1'!J16</f>
        <v>1703.1372719999999</v>
      </c>
      <c r="K23" s="994">
        <f>'F7-1'!K12-'F7-1'!K16</f>
        <v>1903.8697424000002</v>
      </c>
    </row>
    <row r="24" spans="1:12">
      <c r="A24" s="985">
        <v>2</v>
      </c>
      <c r="B24" s="991" t="s">
        <v>789</v>
      </c>
      <c r="C24" s="994">
        <f>Interest!C8</f>
        <v>65.67</v>
      </c>
      <c r="D24" s="994">
        <f>'F7-2'!D49</f>
        <v>0</v>
      </c>
      <c r="E24" s="992">
        <v>0</v>
      </c>
      <c r="F24" s="994"/>
      <c r="G24" s="994"/>
      <c r="H24" s="994">
        <f>'F7-2'!F49</f>
        <v>68.86999999999999</v>
      </c>
      <c r="I24" s="994">
        <f>'F7-2'!G49</f>
        <v>0</v>
      </c>
      <c r="J24" s="994">
        <f>'F7-2'!H49</f>
        <v>0</v>
      </c>
      <c r="K24" s="994">
        <f>'F7-2'!I49</f>
        <v>0</v>
      </c>
    </row>
    <row r="25" spans="1:12">
      <c r="A25" s="985">
        <f t="shared" ref="A25:A32" si="0">+A24+1</f>
        <v>3</v>
      </c>
      <c r="B25" s="991" t="s">
        <v>790</v>
      </c>
      <c r="C25" s="1111"/>
      <c r="D25" s="994">
        <f>'F7-2'!D50</f>
        <v>25.29</v>
      </c>
      <c r="E25" s="1111"/>
      <c r="F25" s="1111"/>
      <c r="G25" s="1111"/>
      <c r="H25" s="994">
        <f>'F7-2'!F50</f>
        <v>126.44000000000003</v>
      </c>
      <c r="I25" s="994">
        <f>'F7-2'!G50</f>
        <v>79.540000000000006</v>
      </c>
      <c r="J25" s="994">
        <f>'F7-2'!H50</f>
        <v>0</v>
      </c>
      <c r="K25" s="994">
        <f>'F7-2'!I50</f>
        <v>0</v>
      </c>
    </row>
    <row r="26" spans="1:12">
      <c r="A26" s="985">
        <f t="shared" si="0"/>
        <v>4</v>
      </c>
      <c r="B26" s="991" t="s">
        <v>792</v>
      </c>
      <c r="C26" s="992">
        <f>C23-C24-C25</f>
        <v>1564.32</v>
      </c>
      <c r="D26" s="992">
        <f>D23-D24-D25</f>
        <v>694.37556200000017</v>
      </c>
      <c r="E26" s="992">
        <f t="shared" ref="E26:I26" si="1">E23-E24-E25</f>
        <v>1699.42</v>
      </c>
      <c r="F26" s="992"/>
      <c r="G26" s="992"/>
      <c r="H26" s="992">
        <f t="shared" si="1"/>
        <v>1168.1858973999999</v>
      </c>
      <c r="I26" s="992">
        <f t="shared" si="1"/>
        <v>1433.4997620095564</v>
      </c>
      <c r="J26" s="992">
        <f>J23-J24-J25</f>
        <v>1703.1372719999999</v>
      </c>
      <c r="K26" s="1111"/>
    </row>
    <row r="27" spans="1:12">
      <c r="A27" s="985">
        <f t="shared" si="0"/>
        <v>5</v>
      </c>
      <c r="B27" s="991" t="s">
        <v>1190</v>
      </c>
      <c r="C27" s="992">
        <v>0</v>
      </c>
      <c r="D27" s="992">
        <v>163.04</v>
      </c>
      <c r="E27" s="992">
        <v>0</v>
      </c>
      <c r="F27" s="992"/>
      <c r="G27" s="992"/>
      <c r="H27" s="992">
        <v>80.060225220000007</v>
      </c>
      <c r="I27" s="992">
        <v>22.259999999999998</v>
      </c>
      <c r="J27" s="992">
        <v>0</v>
      </c>
      <c r="K27" s="992">
        <v>0</v>
      </c>
      <c r="L27" s="1122"/>
    </row>
    <row r="28" spans="1:12">
      <c r="A28" s="985">
        <v>6</v>
      </c>
      <c r="B28" s="991" t="s">
        <v>1191</v>
      </c>
      <c r="C28" s="992">
        <v>342.48</v>
      </c>
      <c r="D28" s="992">
        <v>27.47</v>
      </c>
      <c r="E28" s="992">
        <v>316.06</v>
      </c>
      <c r="F28" s="992"/>
      <c r="G28" s="992"/>
      <c r="H28" s="992">
        <v>151.46169600000002</v>
      </c>
      <c r="I28" s="992">
        <v>271.8599524019113</v>
      </c>
      <c r="J28" s="992">
        <v>340.62745440000003</v>
      </c>
      <c r="K28" s="992">
        <v>380.77394848</v>
      </c>
      <c r="L28" s="993"/>
    </row>
    <row r="29" spans="1:12">
      <c r="A29" s="985">
        <v>7</v>
      </c>
      <c r="B29" s="991" t="s">
        <v>258</v>
      </c>
      <c r="C29" s="994">
        <v>1291.4100000000001</v>
      </c>
      <c r="D29" s="994">
        <v>1409.53</v>
      </c>
      <c r="E29" s="994">
        <v>1706.01</v>
      </c>
      <c r="F29" s="1111"/>
      <c r="G29" s="1111"/>
      <c r="H29" s="992">
        <f>D30</f>
        <v>1600.04</v>
      </c>
      <c r="I29" s="992">
        <f>H30</f>
        <v>1831.5619212200002</v>
      </c>
      <c r="J29" s="992">
        <f>I30</f>
        <v>2125.6818736219116</v>
      </c>
      <c r="K29" s="992">
        <f>J30</f>
        <v>2466.3093280219118</v>
      </c>
    </row>
    <row r="30" spans="1:12">
      <c r="A30" s="985">
        <f t="shared" si="0"/>
        <v>8</v>
      </c>
      <c r="B30" s="991" t="s">
        <v>259</v>
      </c>
      <c r="C30" s="992">
        <f>C29+C27+C28</f>
        <v>1633.89</v>
      </c>
      <c r="D30" s="992">
        <f>D29+D27+D28</f>
        <v>1600.04</v>
      </c>
      <c r="E30" s="992">
        <f>E29+E27+E28</f>
        <v>2022.07</v>
      </c>
      <c r="F30" s="992"/>
      <c r="G30" s="992"/>
      <c r="H30" s="992">
        <f>H29+H27+H28</f>
        <v>1831.5619212200002</v>
      </c>
      <c r="I30" s="992">
        <f>I29+I27+I28</f>
        <v>2125.6818736219116</v>
      </c>
      <c r="J30" s="992">
        <f>J29+J27+J28</f>
        <v>2466.3093280219118</v>
      </c>
      <c r="K30" s="992">
        <f>K29+K27+K28</f>
        <v>2847.0832765019118</v>
      </c>
    </row>
    <row r="31" spans="1:12">
      <c r="A31" s="985">
        <f t="shared" si="0"/>
        <v>9</v>
      </c>
      <c r="B31" s="991" t="s">
        <v>260</v>
      </c>
      <c r="C31" s="992">
        <f>AVERAGE(C30,C29)</f>
        <v>1462.65</v>
      </c>
      <c r="D31" s="992">
        <f t="shared" ref="D31:K31" si="2">AVERAGE(D30,D29)</f>
        <v>1504.7849999999999</v>
      </c>
      <c r="E31" s="992">
        <f>AVERAGE(E30,E29)</f>
        <v>1864.04</v>
      </c>
      <c r="F31" s="992"/>
      <c r="G31" s="992"/>
      <c r="H31" s="992">
        <f t="shared" si="2"/>
        <v>1715.8009606099999</v>
      </c>
      <c r="I31" s="992">
        <f t="shared" si="2"/>
        <v>1978.621897420956</v>
      </c>
      <c r="J31" s="992">
        <f t="shared" si="2"/>
        <v>2295.9956008219115</v>
      </c>
      <c r="K31" s="992">
        <f t="shared" si="2"/>
        <v>2656.696302261912</v>
      </c>
    </row>
    <row r="32" spans="1:12">
      <c r="A32" s="985">
        <f t="shared" si="0"/>
        <v>10</v>
      </c>
      <c r="B32" s="991" t="s">
        <v>853</v>
      </c>
      <c r="C32" s="995">
        <v>0.155</v>
      </c>
      <c r="D32" s="995">
        <v>0.1</v>
      </c>
      <c r="E32" s="995">
        <v>0.1</v>
      </c>
      <c r="F32" s="995"/>
      <c r="G32" s="1111"/>
      <c r="H32" s="995">
        <f>E32</f>
        <v>0.1</v>
      </c>
      <c r="I32" s="995">
        <f>H32</f>
        <v>0.1</v>
      </c>
      <c r="J32" s="995">
        <f>I32</f>
        <v>0.1</v>
      </c>
      <c r="K32" s="995">
        <f>J32</f>
        <v>0.1</v>
      </c>
      <c r="L32" s="1122"/>
    </row>
    <row r="33" spans="1:12" ht="27" customHeight="1">
      <c r="A33" s="985"/>
      <c r="B33" s="996" t="s">
        <v>854</v>
      </c>
      <c r="C33" s="995">
        <v>0.17469999999999999</v>
      </c>
      <c r="D33" s="995">
        <v>0.17471999999999999</v>
      </c>
      <c r="E33" s="995">
        <v>0.17469999999999999</v>
      </c>
      <c r="F33" s="995"/>
      <c r="G33" s="1111"/>
      <c r="H33" s="995">
        <v>0.17471999999999999</v>
      </c>
      <c r="I33" s="995">
        <v>0.17471999999999999</v>
      </c>
      <c r="J33" s="995">
        <v>0.17471999999999999</v>
      </c>
      <c r="K33" s="995">
        <v>0.17471999999999999</v>
      </c>
    </row>
    <row r="34" spans="1:12">
      <c r="A34" s="985"/>
      <c r="B34" s="991" t="s">
        <v>631</v>
      </c>
      <c r="C34" s="997">
        <f>C32/(1-C33)</f>
        <v>0.18781049315400458</v>
      </c>
      <c r="D34" s="997">
        <f>D32/(1-D33)</f>
        <v>0.12117099651027531</v>
      </c>
      <c r="E34" s="997">
        <f>E32/(1-E33)</f>
        <v>0.12116806009935781</v>
      </c>
      <c r="F34" s="995"/>
      <c r="G34" s="1111"/>
      <c r="H34" s="997">
        <f>H32/(1-H33)</f>
        <v>0.12117099651027531</v>
      </c>
      <c r="I34" s="997">
        <f>I32/(1-I33)</f>
        <v>0.12117099651027531</v>
      </c>
      <c r="J34" s="997">
        <f>J32/(1-J33)</f>
        <v>0.12117099651027531</v>
      </c>
      <c r="K34" s="997">
        <f>K32/(1-K33)</f>
        <v>0.12117099651027531</v>
      </c>
    </row>
    <row r="35" spans="1:12">
      <c r="A35" s="985">
        <v>10</v>
      </c>
      <c r="B35" s="991" t="s">
        <v>1868</v>
      </c>
      <c r="C35" s="992">
        <f>C31*C34</f>
        <v>274.70101781170484</v>
      </c>
      <c r="D35" s="992">
        <f>D31*D34</f>
        <v>182.33629798371462</v>
      </c>
      <c r="E35" s="992">
        <f>(E34*E31)</f>
        <v>225.86211074760692</v>
      </c>
      <c r="F35" s="994"/>
      <c r="G35" s="1111"/>
      <c r="H35" s="992">
        <f>(H34*H31)</f>
        <v>207.90531221040132</v>
      </c>
      <c r="I35" s="992">
        <f>(I34*I31)</f>
        <v>239.75158702754896</v>
      </c>
      <c r="J35" s="992">
        <f t="shared" ref="J35:K35" si="3">(J34*J31)</f>
        <v>278.2080749347993</v>
      </c>
      <c r="K35" s="992">
        <f t="shared" si="3"/>
        <v>321.91453837023948</v>
      </c>
    </row>
    <row r="36" spans="1:12">
      <c r="A36" s="985">
        <v>11</v>
      </c>
      <c r="B36" s="991" t="s">
        <v>1189</v>
      </c>
      <c r="C36" s="994">
        <v>375.41</v>
      </c>
      <c r="D36" s="992">
        <f>C36</f>
        <v>375.41</v>
      </c>
      <c r="E36" s="994">
        <v>375.41</v>
      </c>
      <c r="F36" s="1111"/>
      <c r="G36" s="1111"/>
      <c r="H36" s="992">
        <f>E36</f>
        <v>375.41</v>
      </c>
      <c r="I36" s="992">
        <f>H36</f>
        <v>375.41</v>
      </c>
      <c r="J36" s="992">
        <f t="shared" ref="J36:K36" si="4">I36</f>
        <v>375.41</v>
      </c>
      <c r="K36" s="992">
        <f t="shared" si="4"/>
        <v>375.41</v>
      </c>
    </row>
    <row r="37" spans="1:12">
      <c r="A37" s="985">
        <v>12</v>
      </c>
      <c r="B37" s="991" t="s">
        <v>1188</v>
      </c>
      <c r="C37" s="995">
        <v>0.14000000000000001</v>
      </c>
      <c r="D37" s="995">
        <v>0.1</v>
      </c>
      <c r="E37" s="995">
        <v>0.1</v>
      </c>
      <c r="F37" s="1111"/>
      <c r="G37" s="1111"/>
      <c r="H37" s="995">
        <f>E37</f>
        <v>0.1</v>
      </c>
      <c r="I37" s="995">
        <f>H37</f>
        <v>0.1</v>
      </c>
      <c r="J37" s="995">
        <f>I37</f>
        <v>0.1</v>
      </c>
      <c r="K37" s="995">
        <f>J37</f>
        <v>0.1</v>
      </c>
      <c r="L37" s="1122"/>
    </row>
    <row r="38" spans="1:12">
      <c r="A38" s="985">
        <v>13</v>
      </c>
      <c r="B38" s="991" t="s">
        <v>631</v>
      </c>
      <c r="C38" s="995">
        <v>0.1696</v>
      </c>
      <c r="D38" s="995">
        <f>D37/(1-D33)</f>
        <v>0.12117099651027531</v>
      </c>
      <c r="E38" s="995">
        <f>E37/(1-17.47%)</f>
        <v>0.12116806009935781</v>
      </c>
      <c r="F38" s="1111"/>
      <c r="G38" s="1111"/>
      <c r="H38" s="995">
        <f>H37/(1-H33)</f>
        <v>0.12117099651027531</v>
      </c>
      <c r="I38" s="995">
        <f>I37/(1-I33)</f>
        <v>0.12117099651027531</v>
      </c>
      <c r="J38" s="995">
        <f t="shared" ref="J38:K38" si="5">J37/(1-J33)</f>
        <v>0.12117099651027531</v>
      </c>
      <c r="K38" s="995">
        <f t="shared" si="5"/>
        <v>0.12117099651027531</v>
      </c>
    </row>
    <row r="39" spans="1:12">
      <c r="A39" s="985">
        <v>14</v>
      </c>
      <c r="B39" s="991" t="s">
        <v>855</v>
      </c>
      <c r="C39" s="992">
        <f>C36*C38+0.01</f>
        <v>63.679536000000006</v>
      </c>
      <c r="D39" s="992">
        <f>(D38*D36)</f>
        <v>45.488803799922458</v>
      </c>
      <c r="E39" s="992">
        <f>(E38*E36)</f>
        <v>45.487701441899915</v>
      </c>
      <c r="F39" s="1111"/>
      <c r="G39" s="1111"/>
      <c r="H39" s="992">
        <f>(H38*H36)</f>
        <v>45.488803799922458</v>
      </c>
      <c r="I39" s="992">
        <f>(I38*I36)</f>
        <v>45.488803799922458</v>
      </c>
      <c r="J39" s="992">
        <f t="shared" ref="J39:K39" si="6">(J38*J36)</f>
        <v>45.488803799922458</v>
      </c>
      <c r="K39" s="992">
        <f t="shared" si="6"/>
        <v>45.488803799922458</v>
      </c>
    </row>
    <row r="40" spans="1:12">
      <c r="A40" s="985">
        <v>15</v>
      </c>
      <c r="B40" s="991" t="s">
        <v>856</v>
      </c>
      <c r="C40" s="992">
        <f>C39+C35</f>
        <v>338.38055381170483</v>
      </c>
      <c r="D40" s="992">
        <f>D39+D35</f>
        <v>227.82510178363708</v>
      </c>
      <c r="E40" s="992">
        <f>E39+E35</f>
        <v>271.34981218950685</v>
      </c>
      <c r="F40" s="1110"/>
      <c r="G40" s="1111"/>
      <c r="H40" s="992">
        <f>H39+H35</f>
        <v>253.39411601032378</v>
      </c>
      <c r="I40" s="992">
        <f>(I39+I35)</f>
        <v>285.2403908274714</v>
      </c>
      <c r="J40" s="992">
        <f t="shared" ref="J40:K40" si="7">(J39+J35)</f>
        <v>323.69687873472174</v>
      </c>
      <c r="K40" s="992">
        <f t="shared" si="7"/>
        <v>367.40334217016192</v>
      </c>
    </row>
    <row r="41" spans="1:12">
      <c r="D41" s="993"/>
      <c r="I41" s="1157"/>
      <c r="J41" s="1157"/>
      <c r="K41" s="1157"/>
    </row>
    <row r="42" spans="1:12">
      <c r="D42" s="998"/>
    </row>
    <row r="45" spans="1:12" ht="15.75">
      <c r="H45" s="2098" t="s">
        <v>401</v>
      </c>
      <c r="I45" s="2098"/>
      <c r="J45" s="2098"/>
    </row>
  </sheetData>
  <mergeCells count="23">
    <mergeCell ref="A11:A13"/>
    <mergeCell ref="B11:B13"/>
    <mergeCell ref="C11:D12"/>
    <mergeCell ref="E11:F12"/>
    <mergeCell ref="K4:L4"/>
    <mergeCell ref="C4:F4"/>
    <mergeCell ref="G4:J4"/>
    <mergeCell ref="A1:J1"/>
    <mergeCell ref="B4:B5"/>
    <mergeCell ref="H45:J45"/>
    <mergeCell ref="C21:D21"/>
    <mergeCell ref="E21:H21"/>
    <mergeCell ref="A21:A22"/>
    <mergeCell ref="B21:B22"/>
    <mergeCell ref="G12:H12"/>
    <mergeCell ref="G11:L11"/>
    <mergeCell ref="I12:J12"/>
    <mergeCell ref="K12:L12"/>
    <mergeCell ref="I21:K21"/>
    <mergeCell ref="G10:H10"/>
    <mergeCell ref="C6:L6"/>
    <mergeCell ref="K3:L3"/>
    <mergeCell ref="A4:A5"/>
  </mergeCells>
  <pageMargins left="0.39370078740157483" right="0.19685039370078741" top="0.39370078740157483" bottom="0.23622047244094491" header="0.31496062992125984" footer="0.15748031496062992"/>
  <pageSetup paperSize="9" scale="6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P118"/>
  <sheetViews>
    <sheetView showGridLines="0" view="pageBreakPreview" zoomScale="80" zoomScaleNormal="85" zoomScaleSheetLayoutView="80" workbookViewId="0">
      <selection activeCell="A19" sqref="A19"/>
    </sheetView>
  </sheetViews>
  <sheetFormatPr defaultColWidth="9.140625" defaultRowHeight="15"/>
  <cols>
    <col min="1" max="1" width="5.140625" style="609" customWidth="1"/>
    <col min="2" max="2" width="35.7109375" style="609" customWidth="1"/>
    <col min="3" max="3" width="21.7109375" style="609" customWidth="1"/>
    <col min="4" max="5" width="16.42578125" style="609" customWidth="1"/>
    <col min="6" max="6" width="25.140625" style="609" customWidth="1"/>
    <col min="7" max="8" width="14.42578125" style="1245" bestFit="1" customWidth="1"/>
    <col min="9" max="10" width="16.42578125" style="609" customWidth="1"/>
    <col min="11" max="13" width="16.42578125" style="609" hidden="1" customWidth="1"/>
    <col min="14" max="16384" width="9.140625" style="609"/>
  </cols>
  <sheetData>
    <row r="1" spans="1:13" ht="21" customHeight="1">
      <c r="A1" s="226" t="s">
        <v>1158</v>
      </c>
      <c r="B1" s="180"/>
      <c r="C1" s="180"/>
      <c r="D1" s="180"/>
      <c r="E1" s="180"/>
      <c r="F1" s="180"/>
      <c r="G1" s="180"/>
      <c r="H1" s="180"/>
      <c r="I1" s="180"/>
      <c r="J1" s="180"/>
      <c r="K1" s="180"/>
      <c r="L1" s="180"/>
      <c r="M1" s="180"/>
    </row>
    <row r="2" spans="1:13" ht="21" customHeight="1">
      <c r="A2" s="227" t="s">
        <v>909</v>
      </c>
      <c r="B2" s="227"/>
      <c r="C2" s="180"/>
      <c r="D2" s="180"/>
      <c r="E2" s="180"/>
      <c r="F2" s="180" t="s">
        <v>299</v>
      </c>
      <c r="G2" s="180"/>
      <c r="H2" s="180"/>
      <c r="I2" s="180"/>
      <c r="J2" s="180"/>
      <c r="K2" s="180"/>
      <c r="L2" s="601"/>
      <c r="M2" s="601"/>
    </row>
    <row r="3" spans="1:13" s="119" customFormat="1">
      <c r="A3" s="210" t="s">
        <v>719</v>
      </c>
      <c r="B3" s="210" t="s">
        <v>696</v>
      </c>
      <c r="C3" s="211" t="s">
        <v>692</v>
      </c>
      <c r="D3" s="1370" t="s">
        <v>1108</v>
      </c>
      <c r="E3" s="1241" t="s">
        <v>1173</v>
      </c>
      <c r="F3" s="1241" t="s">
        <v>1841</v>
      </c>
      <c r="G3" s="1241" t="s">
        <v>1842</v>
      </c>
      <c r="H3" s="1241" t="s">
        <v>1843</v>
      </c>
      <c r="I3" s="180"/>
      <c r="J3" s="180"/>
      <c r="K3" s="235"/>
      <c r="L3" s="601"/>
      <c r="M3" s="601"/>
    </row>
    <row r="4" spans="1:13" s="119" customFormat="1">
      <c r="A4" s="210">
        <v>1</v>
      </c>
      <c r="B4" s="210">
        <f>+A4+1</f>
        <v>2</v>
      </c>
      <c r="C4" s="211">
        <f>+B4+1</f>
        <v>3</v>
      </c>
      <c r="D4" s="211">
        <f t="shared" ref="D4:F4" si="0">+C4+1</f>
        <v>4</v>
      </c>
      <c r="E4" s="211">
        <f t="shared" si="0"/>
        <v>5</v>
      </c>
      <c r="F4" s="211">
        <f t="shared" si="0"/>
        <v>6</v>
      </c>
      <c r="G4" s="211">
        <v>7</v>
      </c>
      <c r="H4" s="211">
        <v>8</v>
      </c>
      <c r="I4" s="180"/>
      <c r="J4" s="180"/>
      <c r="K4" s="235"/>
      <c r="L4" s="601"/>
      <c r="M4" s="601"/>
    </row>
    <row r="5" spans="1:13" s="119" customFormat="1">
      <c r="A5" s="615">
        <v>1</v>
      </c>
      <c r="B5" s="157" t="s">
        <v>709</v>
      </c>
      <c r="C5" s="236"/>
      <c r="D5" s="241"/>
      <c r="E5" s="241"/>
      <c r="F5" s="241"/>
      <c r="G5" s="241"/>
      <c r="H5" s="241"/>
      <c r="I5" s="180"/>
      <c r="J5" s="180"/>
      <c r="K5" s="235"/>
      <c r="L5" s="601"/>
      <c r="M5" s="601"/>
    </row>
    <row r="6" spans="1:13" s="119" customFormat="1">
      <c r="A6" s="615">
        <f>+A5+1</f>
        <v>2</v>
      </c>
      <c r="B6" s="157" t="s">
        <v>710</v>
      </c>
      <c r="C6" s="236"/>
      <c r="D6" s="241"/>
      <c r="E6" s="241"/>
      <c r="F6" s="241"/>
      <c r="G6" s="241"/>
      <c r="H6" s="241"/>
      <c r="I6" s="180"/>
      <c r="J6" s="180"/>
      <c r="K6" s="235"/>
      <c r="L6" s="601"/>
      <c r="M6" s="601"/>
    </row>
    <row r="7" spans="1:13" s="119" customFormat="1">
      <c r="A7" s="615">
        <f t="shared" ref="A7:A22" si="1">+A6+1</f>
        <v>3</v>
      </c>
      <c r="B7" s="157" t="s">
        <v>244</v>
      </c>
      <c r="C7" s="236"/>
      <c r="D7" s="241"/>
      <c r="E7" s="241"/>
      <c r="F7" s="241"/>
      <c r="G7" s="241"/>
      <c r="H7" s="241"/>
      <c r="I7" s="180"/>
      <c r="J7" s="180"/>
      <c r="K7" s="235"/>
      <c r="L7" s="601"/>
      <c r="M7" s="601"/>
    </row>
    <row r="8" spans="1:13" s="119" customFormat="1">
      <c r="A8" s="615">
        <f t="shared" si="1"/>
        <v>4</v>
      </c>
      <c r="B8" s="157" t="s">
        <v>245</v>
      </c>
      <c r="C8" s="236"/>
      <c r="D8" s="241"/>
      <c r="E8" s="241"/>
      <c r="F8" s="241"/>
      <c r="G8" s="241"/>
      <c r="H8" s="241"/>
      <c r="I8" s="180"/>
      <c r="J8" s="180"/>
      <c r="K8" s="235"/>
      <c r="L8" s="601"/>
      <c r="M8" s="601"/>
    </row>
    <row r="9" spans="1:13" s="119" customFormat="1">
      <c r="A9" s="615">
        <f t="shared" si="1"/>
        <v>5</v>
      </c>
      <c r="B9" s="157" t="s">
        <v>246</v>
      </c>
      <c r="C9" s="236"/>
      <c r="D9" s="241"/>
      <c r="E9" s="241"/>
      <c r="F9" s="241"/>
      <c r="G9" s="241"/>
      <c r="H9" s="241"/>
      <c r="I9" s="180"/>
      <c r="J9" s="180"/>
      <c r="K9" s="235"/>
      <c r="L9" s="601"/>
      <c r="M9" s="601"/>
    </row>
    <row r="10" spans="1:13" s="119" customFormat="1">
      <c r="A10" s="615">
        <f t="shared" si="1"/>
        <v>6</v>
      </c>
      <c r="B10" s="157" t="s">
        <v>711</v>
      </c>
      <c r="C10" s="251"/>
      <c r="D10" s="241"/>
      <c r="E10" s="241"/>
      <c r="F10" s="241"/>
      <c r="G10" s="241"/>
      <c r="H10" s="241"/>
      <c r="I10" s="180"/>
      <c r="J10" s="180"/>
      <c r="K10" s="235">
        <v>340.55</v>
      </c>
      <c r="L10" s="601"/>
      <c r="M10" s="601"/>
    </row>
    <row r="11" spans="1:13" s="119" customFormat="1">
      <c r="A11" s="615">
        <f t="shared" si="1"/>
        <v>7</v>
      </c>
      <c r="B11" s="157" t="s">
        <v>712</v>
      </c>
      <c r="C11" s="236"/>
      <c r="D11" s="241"/>
      <c r="E11" s="241"/>
      <c r="F11" s="241"/>
      <c r="G11" s="241"/>
      <c r="H11" s="241"/>
      <c r="I11" s="180"/>
      <c r="J11" s="180"/>
      <c r="K11" s="235">
        <v>225.73</v>
      </c>
      <c r="L11" s="601">
        <f>+K11+K16</f>
        <v>496.67000000000007</v>
      </c>
      <c r="M11" s="601">
        <f>+L11*0.105</f>
        <v>52.150350000000003</v>
      </c>
    </row>
    <row r="12" spans="1:13" s="119" customFormat="1">
      <c r="A12" s="615">
        <f t="shared" si="1"/>
        <v>8</v>
      </c>
      <c r="B12" s="157" t="s">
        <v>713</v>
      </c>
      <c r="C12" s="236"/>
      <c r="D12" s="241"/>
      <c r="E12" s="241"/>
      <c r="F12" s="241"/>
      <c r="G12" s="241"/>
      <c r="H12" s="241"/>
      <c r="I12" s="180"/>
      <c r="J12" s="180"/>
      <c r="K12" s="235"/>
      <c r="L12" s="601"/>
      <c r="M12" s="601"/>
    </row>
    <row r="13" spans="1:13" s="119" customFormat="1" ht="45">
      <c r="A13" s="615">
        <f t="shared" si="1"/>
        <v>9</v>
      </c>
      <c r="B13" s="157" t="s">
        <v>914</v>
      </c>
      <c r="C13" s="251" t="s">
        <v>932</v>
      </c>
      <c r="D13" s="1317">
        <f>'F9-1'!H6</f>
        <v>464.12720960000001</v>
      </c>
      <c r="E13" s="1317">
        <f>'F9-1'!H11</f>
        <v>464.12720960000001</v>
      </c>
      <c r="F13" s="241"/>
      <c r="G13" s="241"/>
      <c r="H13" s="241"/>
      <c r="I13" s="180"/>
      <c r="J13" s="180"/>
      <c r="K13" s="235"/>
      <c r="L13" s="601"/>
      <c r="M13" s="601"/>
    </row>
    <row r="14" spans="1:13" s="119" customFormat="1">
      <c r="A14" s="615">
        <f t="shared" si="1"/>
        <v>10</v>
      </c>
      <c r="B14" s="157" t="s">
        <v>68</v>
      </c>
      <c r="C14" s="236"/>
      <c r="D14" s="1317">
        <f>SUM(D5:D13)</f>
        <v>464.12720960000001</v>
      </c>
      <c r="E14" s="1317">
        <f>SUM(E5:E13)</f>
        <v>464.12720960000001</v>
      </c>
      <c r="F14" s="241"/>
      <c r="G14" s="241"/>
      <c r="H14" s="241"/>
      <c r="I14" s="180"/>
      <c r="J14" s="180"/>
      <c r="K14" s="235"/>
      <c r="L14" s="601"/>
      <c r="M14" s="601"/>
    </row>
    <row r="15" spans="1:13" s="119" customFormat="1" ht="45">
      <c r="A15" s="615">
        <f t="shared" si="1"/>
        <v>11</v>
      </c>
      <c r="B15" s="157" t="s">
        <v>933</v>
      </c>
      <c r="C15" s="251" t="s">
        <v>932</v>
      </c>
      <c r="D15" s="1317">
        <f>'F9-1'!H5</f>
        <v>1750</v>
      </c>
      <c r="E15" s="1317">
        <f>'F9-1'!H12</f>
        <v>1750</v>
      </c>
      <c r="F15" s="241"/>
      <c r="G15" s="241"/>
      <c r="H15" s="241"/>
      <c r="I15" s="180"/>
      <c r="J15" s="180"/>
      <c r="K15" s="235">
        <v>536.52</v>
      </c>
      <c r="L15" s="601"/>
      <c r="M15" s="601"/>
    </row>
    <row r="16" spans="1:13" s="119" customFormat="1">
      <c r="A16" s="615">
        <f t="shared" si="1"/>
        <v>12</v>
      </c>
      <c r="B16" s="157" t="s">
        <v>714</v>
      </c>
      <c r="C16" s="236"/>
      <c r="D16" s="242">
        <f>+D14+D15</f>
        <v>2214.1272096000002</v>
      </c>
      <c r="E16" s="242">
        <f>+E14+E15</f>
        <v>2214.1272096000002</v>
      </c>
      <c r="F16" s="242"/>
      <c r="G16" s="242"/>
      <c r="H16" s="242"/>
      <c r="I16" s="180"/>
      <c r="J16" s="180"/>
      <c r="K16" s="235">
        <f>807.46-K15</f>
        <v>270.94000000000005</v>
      </c>
      <c r="L16" s="601"/>
      <c r="M16" s="601"/>
    </row>
    <row r="17" spans="1:13" s="119" customFormat="1">
      <c r="A17" s="615">
        <f t="shared" si="1"/>
        <v>13</v>
      </c>
      <c r="B17" s="157" t="s">
        <v>721</v>
      </c>
      <c r="C17" s="236"/>
      <c r="D17" s="241">
        <f>E52</f>
        <v>8.58</v>
      </c>
      <c r="E17" s="1317">
        <f>F52</f>
        <v>52.038480000000014</v>
      </c>
      <c r="F17" s="241"/>
      <c r="G17" s="241"/>
      <c r="H17" s="241"/>
      <c r="I17" s="180"/>
      <c r="J17" s="180"/>
      <c r="K17" s="235">
        <f>+K16*0.105</f>
        <v>28.448700000000006</v>
      </c>
      <c r="L17" s="601"/>
      <c r="M17" s="601"/>
    </row>
    <row r="18" spans="1:13" s="119" customFormat="1">
      <c r="A18" s="615">
        <f t="shared" si="1"/>
        <v>14</v>
      </c>
      <c r="B18" s="157" t="s">
        <v>715</v>
      </c>
      <c r="C18" s="236"/>
      <c r="D18" s="243">
        <f>'[129]Sch P&amp;L 22-25'!$B$24/10^7</f>
        <v>59.526694083999992</v>
      </c>
      <c r="E18" s="243">
        <f>Interest!H17</f>
        <v>329.23668455969175</v>
      </c>
      <c r="F18" s="243"/>
      <c r="G18" s="243"/>
      <c r="H18" s="243"/>
      <c r="I18" s="180"/>
      <c r="J18" s="180"/>
      <c r="K18" s="235">
        <f>+K15*0.105</f>
        <v>56.334599999999995</v>
      </c>
      <c r="L18" s="601"/>
      <c r="M18" s="601"/>
    </row>
    <row r="19" spans="1:13" s="119" customFormat="1">
      <c r="A19" s="615">
        <f t="shared" si="1"/>
        <v>15</v>
      </c>
      <c r="B19" s="237" t="s">
        <v>716</v>
      </c>
      <c r="C19" s="236"/>
      <c r="D19" s="241"/>
      <c r="E19" s="241"/>
      <c r="F19" s="241"/>
      <c r="G19" s="241"/>
      <c r="H19" s="241"/>
      <c r="I19" s="180"/>
      <c r="J19" s="180"/>
      <c r="K19" s="235"/>
      <c r="L19" s="601"/>
      <c r="M19" s="601"/>
    </row>
    <row r="20" spans="1:13" s="119" customFormat="1">
      <c r="A20" s="615">
        <f t="shared" si="1"/>
        <v>16</v>
      </c>
      <c r="B20" s="237" t="s">
        <v>717</v>
      </c>
      <c r="C20" s="236"/>
      <c r="D20" s="243">
        <f>+D18+D19</f>
        <v>59.526694083999992</v>
      </c>
      <c r="E20" s="243">
        <f>+E18+E19</f>
        <v>329.23668455969175</v>
      </c>
      <c r="F20" s="243"/>
      <c r="G20" s="243"/>
      <c r="H20" s="243"/>
      <c r="I20" s="180"/>
      <c r="J20" s="180"/>
      <c r="K20" s="235">
        <f>+K10+K15+K10</f>
        <v>1217.6199999999999</v>
      </c>
      <c r="L20" s="601">
        <f>+K20/2</f>
        <v>608.80999999999995</v>
      </c>
      <c r="M20" s="601">
        <f>+L20*0.105</f>
        <v>63.925049999999992</v>
      </c>
    </row>
    <row r="21" spans="1:13" s="119" customFormat="1">
      <c r="A21" s="210">
        <f t="shared" si="1"/>
        <v>17</v>
      </c>
      <c r="B21" s="237" t="s">
        <v>718</v>
      </c>
      <c r="C21" s="236"/>
      <c r="D21" s="243">
        <f>'[129]Sch P&amp;L 22-25'!$B$27/10^7</f>
        <v>1.228327524</v>
      </c>
      <c r="E21" s="243">
        <f>Interest!H18</f>
        <v>1.228327524</v>
      </c>
      <c r="F21" s="241"/>
      <c r="G21" s="241"/>
      <c r="H21" s="241"/>
      <c r="I21" s="180"/>
      <c r="J21" s="180"/>
      <c r="K21" s="235">
        <f>+K11+K16+K11</f>
        <v>722.40000000000009</v>
      </c>
      <c r="L21" s="601">
        <f>+K21/2</f>
        <v>361.20000000000005</v>
      </c>
      <c r="M21" s="601">
        <f>+L21*0.105</f>
        <v>37.926000000000002</v>
      </c>
    </row>
    <row r="22" spans="1:13" s="119" customFormat="1">
      <c r="A22" s="615">
        <f t="shared" si="1"/>
        <v>18</v>
      </c>
      <c r="B22" s="237" t="s">
        <v>720</v>
      </c>
      <c r="C22" s="236"/>
      <c r="D22" s="244">
        <f>+D20+D21</f>
        <v>60.755021607999993</v>
      </c>
      <c r="E22" s="244">
        <f>+E20+E21</f>
        <v>330.46501208369176</v>
      </c>
      <c r="F22" s="244"/>
      <c r="G22" s="244"/>
      <c r="H22" s="244"/>
      <c r="I22" s="180"/>
      <c r="J22" s="180"/>
      <c r="K22" s="235"/>
      <c r="L22" s="601"/>
      <c r="M22" s="601"/>
    </row>
    <row r="23" spans="1:13" s="119" customFormat="1" ht="33.75" customHeight="1">
      <c r="A23" s="2169" t="s">
        <v>906</v>
      </c>
      <c r="B23" s="2169"/>
      <c r="C23" s="2169"/>
      <c r="D23" s="2169"/>
      <c r="E23" s="2169"/>
      <c r="F23" s="2169"/>
      <c r="G23" s="1368"/>
      <c r="H23" s="1368"/>
      <c r="I23" s="180"/>
      <c r="J23" s="180"/>
      <c r="K23" s="235"/>
      <c r="L23" s="601"/>
      <c r="M23" s="601"/>
    </row>
    <row r="24" spans="1:13" ht="15.75" thickBot="1">
      <c r="A24" s="326" t="s">
        <v>689</v>
      </c>
      <c r="B24" s="327"/>
      <c r="C24" s="328"/>
      <c r="D24" s="328"/>
      <c r="E24" s="328"/>
      <c r="F24" s="328"/>
      <c r="G24" s="328"/>
      <c r="H24" s="328"/>
      <c r="I24" s="328"/>
      <c r="J24" s="328"/>
      <c r="L24" s="161"/>
      <c r="M24" s="161"/>
    </row>
    <row r="25" spans="1:13" ht="45" customHeight="1">
      <c r="A25" s="329"/>
      <c r="B25" s="330" t="s">
        <v>48</v>
      </c>
      <c r="C25" s="329" t="s">
        <v>206</v>
      </c>
      <c r="D25" s="329" t="s">
        <v>207</v>
      </c>
      <c r="E25" s="331" t="s">
        <v>208</v>
      </c>
      <c r="F25" s="2170" t="s">
        <v>725</v>
      </c>
      <c r="G25" s="1369"/>
      <c r="H25" s="1369"/>
      <c r="I25" s="332"/>
      <c r="J25" s="332"/>
      <c r="K25" s="332"/>
      <c r="L25" s="332"/>
      <c r="M25" s="332"/>
    </row>
    <row r="26" spans="1:13">
      <c r="A26" s="333">
        <v>1</v>
      </c>
      <c r="B26" s="330" t="s">
        <v>209</v>
      </c>
      <c r="C26" s="334"/>
      <c r="D26" s="334"/>
      <c r="E26" s="335"/>
      <c r="F26" s="2171"/>
      <c r="G26" s="1369"/>
      <c r="H26" s="1369"/>
      <c r="I26" s="336"/>
      <c r="J26" s="336"/>
      <c r="K26" s="336"/>
      <c r="L26" s="336"/>
      <c r="M26" s="336"/>
    </row>
    <row r="27" spans="1:13">
      <c r="A27" s="337">
        <v>1.1000000000000001</v>
      </c>
      <c r="B27" s="330" t="s">
        <v>210</v>
      </c>
      <c r="C27" s="334"/>
      <c r="D27" s="334"/>
      <c r="E27" s="335"/>
      <c r="F27" s="2171"/>
      <c r="G27" s="1369"/>
      <c r="H27" s="1369"/>
      <c r="I27" s="336"/>
      <c r="J27" s="336"/>
      <c r="K27" s="336"/>
      <c r="L27" s="336"/>
      <c r="M27" s="336"/>
    </row>
    <row r="28" spans="1:13">
      <c r="A28" s="338" t="s">
        <v>211</v>
      </c>
      <c r="B28" s="339" t="s">
        <v>212</v>
      </c>
      <c r="C28" s="340"/>
      <c r="D28" s="341"/>
      <c r="E28" s="342"/>
      <c r="F28" s="2171"/>
      <c r="G28" s="1369"/>
      <c r="H28" s="1369"/>
      <c r="I28" s="343"/>
      <c r="J28" s="343"/>
      <c r="K28" s="343"/>
      <c r="L28" s="343"/>
      <c r="M28" s="343"/>
    </row>
    <row r="29" spans="1:13">
      <c r="A29" s="338"/>
      <c r="B29" s="339" t="s">
        <v>213</v>
      </c>
      <c r="C29" s="340"/>
      <c r="D29" s="341"/>
      <c r="E29" s="342"/>
      <c r="F29" s="2171"/>
      <c r="G29" s="1369"/>
      <c r="H29" s="1369"/>
      <c r="I29" s="343"/>
      <c r="J29" s="343"/>
      <c r="K29" s="343"/>
      <c r="L29" s="343"/>
      <c r="M29" s="343"/>
    </row>
    <row r="30" spans="1:13">
      <c r="A30" s="338"/>
      <c r="B30" s="339" t="s">
        <v>214</v>
      </c>
      <c r="C30" s="340"/>
      <c r="D30" s="341"/>
      <c r="E30" s="342"/>
      <c r="F30" s="2171"/>
      <c r="G30" s="1369"/>
      <c r="H30" s="1369"/>
      <c r="I30" s="343"/>
      <c r="J30" s="343"/>
      <c r="K30" s="343"/>
      <c r="L30" s="343"/>
      <c r="M30" s="343"/>
    </row>
    <row r="31" spans="1:13">
      <c r="A31" s="338"/>
      <c r="B31" s="339" t="s">
        <v>215</v>
      </c>
      <c r="C31" s="340"/>
      <c r="D31" s="341"/>
      <c r="E31" s="342"/>
      <c r="F31" s="2171"/>
      <c r="G31" s="1369"/>
      <c r="H31" s="1369"/>
      <c r="I31" s="343"/>
      <c r="J31" s="343"/>
      <c r="K31" s="343"/>
      <c r="L31" s="343"/>
      <c r="M31" s="343"/>
    </row>
    <row r="32" spans="1:13">
      <c r="A32" s="338" t="s">
        <v>216</v>
      </c>
      <c r="B32" s="339" t="s">
        <v>217</v>
      </c>
      <c r="C32" s="340"/>
      <c r="D32" s="341"/>
      <c r="E32" s="342"/>
      <c r="F32" s="2171"/>
      <c r="G32" s="1369"/>
      <c r="H32" s="1369"/>
      <c r="I32" s="343"/>
      <c r="J32" s="343"/>
      <c r="K32" s="343"/>
      <c r="L32" s="343"/>
      <c r="M32" s="343"/>
    </row>
    <row r="33" spans="1:13">
      <c r="A33" s="338"/>
      <c r="B33" s="339" t="s">
        <v>218</v>
      </c>
      <c r="C33" s="340"/>
      <c r="D33" s="341"/>
      <c r="E33" s="342"/>
      <c r="F33" s="2171"/>
      <c r="G33" s="1369"/>
      <c r="H33" s="1369"/>
      <c r="I33" s="343"/>
      <c r="J33" s="343"/>
      <c r="K33" s="343"/>
      <c r="L33" s="343"/>
      <c r="M33" s="343"/>
    </row>
    <row r="34" spans="1:13">
      <c r="A34" s="338"/>
      <c r="B34" s="339" t="s">
        <v>218</v>
      </c>
      <c r="C34" s="340"/>
      <c r="D34" s="341"/>
      <c r="E34" s="342"/>
      <c r="F34" s="2171"/>
      <c r="G34" s="1369"/>
      <c r="H34" s="1369"/>
      <c r="I34" s="343"/>
      <c r="J34" s="343"/>
      <c r="K34" s="343"/>
      <c r="L34" s="343"/>
      <c r="M34" s="343"/>
    </row>
    <row r="35" spans="1:13">
      <c r="A35" s="317"/>
      <c r="B35" s="344" t="s">
        <v>722</v>
      </c>
      <c r="C35" s="647" t="s">
        <v>1572</v>
      </c>
      <c r="D35" s="345">
        <f t="shared" ref="C35:E36" si="2">D29+D33</f>
        <v>0</v>
      </c>
      <c r="E35" s="346">
        <f t="shared" si="2"/>
        <v>0</v>
      </c>
      <c r="F35" s="2171"/>
      <c r="G35" s="1369"/>
      <c r="H35" s="1369"/>
      <c r="I35" s="343"/>
      <c r="J35" s="343"/>
      <c r="K35" s="343"/>
      <c r="L35" s="343"/>
      <c r="M35" s="343"/>
    </row>
    <row r="36" spans="1:13">
      <c r="A36" s="317"/>
      <c r="B36" s="344" t="s">
        <v>723</v>
      </c>
      <c r="C36" s="345">
        <f t="shared" si="2"/>
        <v>0</v>
      </c>
      <c r="D36" s="345">
        <f t="shared" si="2"/>
        <v>0</v>
      </c>
      <c r="E36" s="346">
        <f t="shared" si="2"/>
        <v>0</v>
      </c>
      <c r="F36" s="2171"/>
      <c r="G36" s="1369"/>
      <c r="H36" s="1369"/>
      <c r="I36" s="343"/>
      <c r="J36" s="343"/>
      <c r="K36" s="343"/>
      <c r="L36" s="343"/>
      <c r="M36" s="343"/>
    </row>
    <row r="37" spans="1:13" ht="66" customHeight="1" thickBot="1">
      <c r="A37" s="317"/>
      <c r="B37" s="344" t="s">
        <v>724</v>
      </c>
      <c r="C37" s="347" t="e">
        <f>C31+#REF!</f>
        <v>#REF!</v>
      </c>
      <c r="D37" s="348" t="e">
        <f>D31+#REF!</f>
        <v>#REF!</v>
      </c>
      <c r="E37" s="349" t="e">
        <f>E31+#REF!</f>
        <v>#REF!</v>
      </c>
      <c r="F37" s="2172"/>
      <c r="G37" s="1369"/>
      <c r="H37" s="1369"/>
      <c r="I37" s="343"/>
      <c r="J37" s="343"/>
      <c r="K37" s="343"/>
      <c r="L37" s="343"/>
      <c r="M37" s="343"/>
    </row>
    <row r="38" spans="1:13" ht="21" customHeight="1">
      <c r="A38" s="350" t="s">
        <v>726</v>
      </c>
      <c r="B38" s="327"/>
      <c r="C38" s="328"/>
      <c r="D38" s="328"/>
      <c r="E38" s="328"/>
      <c r="F38" s="328"/>
      <c r="G38" s="328"/>
      <c r="H38" s="328"/>
      <c r="J38" s="328"/>
      <c r="K38" s="328"/>
      <c r="L38" s="328"/>
      <c r="M38" s="328"/>
    </row>
    <row r="39" spans="1:13" ht="21" hidden="1" customHeight="1">
      <c r="A39" s="176" t="s">
        <v>187</v>
      </c>
      <c r="B39" s="176"/>
      <c r="C39" s="176"/>
      <c r="D39" s="176"/>
      <c r="E39" s="176"/>
      <c r="F39" s="176"/>
      <c r="G39" s="176"/>
      <c r="H39" s="176"/>
      <c r="I39" s="176"/>
      <c r="J39" s="176"/>
      <c r="M39" s="328"/>
    </row>
    <row r="40" spans="1:13" ht="21" hidden="1" customHeight="1">
      <c r="A40" s="196">
        <v>1</v>
      </c>
      <c r="B40" s="196" t="s">
        <v>339</v>
      </c>
      <c r="C40" s="1932" t="s">
        <v>352</v>
      </c>
      <c r="D40" s="1991"/>
      <c r="E40" s="1991"/>
      <c r="F40" s="1991"/>
      <c r="G40" s="1991"/>
      <c r="H40" s="1991"/>
      <c r="I40" s="1991"/>
      <c r="J40" s="1935"/>
      <c r="K40" s="328"/>
      <c r="L40" s="328"/>
      <c r="M40" s="328"/>
    </row>
    <row r="41" spans="1:13" ht="21" hidden="1" customHeight="1">
      <c r="A41" s="228">
        <v>2</v>
      </c>
      <c r="B41" s="229" t="s">
        <v>343</v>
      </c>
      <c r="C41" s="231">
        <v>17.100000000000001</v>
      </c>
      <c r="D41" s="176"/>
      <c r="E41" s="176"/>
      <c r="F41" s="176"/>
      <c r="G41" s="176"/>
      <c r="H41" s="176"/>
      <c r="I41" s="176"/>
      <c r="J41" s="232"/>
    </row>
    <row r="42" spans="1:13" ht="21" hidden="1" customHeight="1">
      <c r="A42" s="196">
        <v>3</v>
      </c>
      <c r="B42" s="613" t="s">
        <v>330</v>
      </c>
      <c r="C42" s="604" t="s">
        <v>353</v>
      </c>
      <c r="D42" s="620"/>
      <c r="E42" s="620"/>
      <c r="F42" s="620"/>
      <c r="G42" s="1243"/>
      <c r="H42" s="1243"/>
      <c r="I42" s="620"/>
      <c r="J42" s="293"/>
    </row>
    <row r="43" spans="1:13" ht="21" hidden="1" customHeight="1">
      <c r="A43" s="196">
        <v>4</v>
      </c>
      <c r="B43" s="197" t="s">
        <v>331</v>
      </c>
      <c r="C43" s="2173"/>
      <c r="D43" s="2174"/>
      <c r="E43" s="2174"/>
      <c r="F43" s="2174"/>
      <c r="G43" s="2174"/>
      <c r="H43" s="2174"/>
      <c r="I43" s="2174"/>
      <c r="J43" s="2175"/>
    </row>
    <row r="44" spans="1:13" ht="21" hidden="1" customHeight="1">
      <c r="A44" s="196">
        <v>5</v>
      </c>
      <c r="B44" s="197" t="s">
        <v>332</v>
      </c>
      <c r="C44" s="604"/>
      <c r="D44" s="620"/>
      <c r="E44" s="620"/>
      <c r="F44" s="620"/>
      <c r="G44" s="1243"/>
      <c r="H44" s="1243"/>
      <c r="I44" s="620"/>
      <c r="J44" s="293"/>
    </row>
    <row r="45" spans="1:13" ht="21" hidden="1" customHeight="1"/>
    <row r="46" spans="1:13" ht="21" hidden="1" customHeight="1"/>
    <row r="47" spans="1:13" ht="21" hidden="1" customHeight="1"/>
    <row r="48" spans="1:13" ht="21" customHeight="1">
      <c r="A48" s="2176" t="s">
        <v>719</v>
      </c>
      <c r="B48" s="2176" t="s">
        <v>727</v>
      </c>
      <c r="C48" s="1989" t="s">
        <v>696</v>
      </c>
      <c r="D48" s="2180" t="s">
        <v>728</v>
      </c>
      <c r="E48" s="2180"/>
      <c r="F48" s="2180"/>
      <c r="G48" s="2180"/>
      <c r="H48" s="2180"/>
      <c r="I48" s="2180"/>
    </row>
    <row r="49" spans="1:16" ht="66" customHeight="1">
      <c r="A49" s="2177"/>
      <c r="B49" s="2177"/>
      <c r="C49" s="2179"/>
      <c r="D49" s="2176" t="s">
        <v>729</v>
      </c>
      <c r="E49" s="1247" t="s">
        <v>732</v>
      </c>
      <c r="F49" s="1241" t="s">
        <v>730</v>
      </c>
      <c r="G49" s="1922" t="s">
        <v>731</v>
      </c>
      <c r="H49" s="1922"/>
      <c r="I49" s="1922"/>
    </row>
    <row r="50" spans="1:16" ht="30.75" customHeight="1">
      <c r="A50" s="2178"/>
      <c r="B50" s="2178"/>
      <c r="C50" s="1990"/>
      <c r="D50" s="2178"/>
      <c r="E50" s="1370" t="s">
        <v>1108</v>
      </c>
      <c r="F50" s="1241" t="s">
        <v>1173</v>
      </c>
      <c r="G50" s="1241" t="s">
        <v>1841</v>
      </c>
      <c r="H50" s="1241" t="s">
        <v>1842</v>
      </c>
      <c r="I50" s="1241" t="s">
        <v>1843</v>
      </c>
    </row>
    <row r="51" spans="1:16" ht="21" customHeight="1">
      <c r="A51" s="616"/>
      <c r="B51" s="616">
        <v>1</v>
      </c>
      <c r="C51" s="153">
        <v>2</v>
      </c>
      <c r="D51" s="153">
        <v>3</v>
      </c>
      <c r="E51" s="616">
        <v>4</v>
      </c>
      <c r="F51" s="153">
        <v>5</v>
      </c>
      <c r="G51" s="153"/>
      <c r="H51" s="153"/>
      <c r="I51" s="616">
        <v>6</v>
      </c>
    </row>
    <row r="52" spans="1:16" ht="21" customHeight="1">
      <c r="A52" s="154">
        <v>1</v>
      </c>
      <c r="B52" s="154" t="s">
        <v>2286</v>
      </c>
      <c r="C52" s="615" t="s">
        <v>917</v>
      </c>
      <c r="D52" s="157"/>
      <c r="E52" s="157">
        <f>'F7-2'!D37</f>
        <v>8.58</v>
      </c>
      <c r="F52" s="1371">
        <f>'F7-2'!F37</f>
        <v>52.038480000000014</v>
      </c>
      <c r="G52" s="1371">
        <f>'F7-2'!G37</f>
        <v>83.369181804778151</v>
      </c>
      <c r="H52" s="1371">
        <f>'F7-2'!H37</f>
        <v>94.327271999999994</v>
      </c>
      <c r="I52" s="1371">
        <f>'F7-2'!I37</f>
        <v>108.22974240000002</v>
      </c>
    </row>
    <row r="53" spans="1:16" ht="21" customHeight="1">
      <c r="A53" s="154">
        <v>2</v>
      </c>
      <c r="B53" s="154"/>
      <c r="C53" s="615"/>
      <c r="D53" s="157"/>
      <c r="E53" s="157"/>
      <c r="F53" s="157"/>
      <c r="G53" s="157"/>
      <c r="H53" s="157"/>
      <c r="I53" s="157"/>
    </row>
    <row r="54" spans="1:16" ht="21" customHeight="1"/>
    <row r="55" spans="1:16" ht="21" hidden="1" customHeight="1">
      <c r="B55" s="1936" t="s">
        <v>955</v>
      </c>
      <c r="C55" s="1936"/>
      <c r="D55" s="1936"/>
      <c r="E55" s="1936"/>
      <c r="F55" s="1936"/>
      <c r="G55" s="1244"/>
      <c r="H55" s="1244"/>
    </row>
    <row r="56" spans="1:16" ht="21" hidden="1" customHeight="1"/>
    <row r="57" spans="1:16" ht="21" hidden="1" customHeight="1">
      <c r="B57" s="2159" t="s">
        <v>935</v>
      </c>
      <c r="C57" s="2161" t="s">
        <v>936</v>
      </c>
      <c r="D57" s="2163" t="s">
        <v>937</v>
      </c>
      <c r="E57" s="2164"/>
      <c r="F57" s="2164"/>
      <c r="G57" s="2164"/>
      <c r="H57" s="2164"/>
      <c r="I57" s="2165"/>
      <c r="J57" s="2163" t="s">
        <v>938</v>
      </c>
      <c r="K57" s="2164"/>
      <c r="L57" s="2164"/>
      <c r="M57" s="2164"/>
      <c r="N57" s="2164"/>
      <c r="O57" s="2164"/>
      <c r="P57" s="2165"/>
    </row>
    <row r="58" spans="1:16" ht="44.25" hidden="1" customHeight="1">
      <c r="B58" s="2160"/>
      <c r="C58" s="2162"/>
      <c r="D58" s="258" t="s">
        <v>939</v>
      </c>
      <c r="E58" s="2166" t="s">
        <v>940</v>
      </c>
      <c r="F58" s="2167"/>
      <c r="G58" s="1248"/>
      <c r="H58" s="1248"/>
      <c r="I58" s="258" t="s">
        <v>941</v>
      </c>
      <c r="J58" s="258" t="s">
        <v>942</v>
      </c>
      <c r="K58" s="2166" t="s">
        <v>943</v>
      </c>
      <c r="L58" s="2167"/>
      <c r="M58" s="2166" t="s">
        <v>944</v>
      </c>
      <c r="N58" s="2168"/>
      <c r="O58" s="2168"/>
      <c r="P58" s="2167"/>
    </row>
    <row r="59" spans="1:16" ht="21" hidden="1" customHeight="1">
      <c r="B59" s="259">
        <v>1</v>
      </c>
      <c r="C59" s="260" t="s">
        <v>945</v>
      </c>
      <c r="D59" s="261">
        <v>2193.58</v>
      </c>
      <c r="E59" s="2151">
        <v>3034.34</v>
      </c>
      <c r="F59" s="2152"/>
      <c r="G59" s="1249"/>
      <c r="H59" s="1249"/>
      <c r="I59" s="261">
        <v>566.28</v>
      </c>
      <c r="J59" s="261">
        <f>+I62</f>
        <v>1373.74</v>
      </c>
      <c r="K59" s="2151">
        <f>+J62</f>
        <v>3688.58</v>
      </c>
      <c r="L59" s="2152"/>
      <c r="M59" s="2151">
        <f>+K62</f>
        <v>4450.1099999999997</v>
      </c>
      <c r="N59" s="2153"/>
      <c r="O59" s="2153"/>
      <c r="P59" s="2152"/>
    </row>
    <row r="60" spans="1:16" ht="21" hidden="1" customHeight="1">
      <c r="B60" s="259">
        <v>2</v>
      </c>
      <c r="C60" s="262" t="s">
        <v>946</v>
      </c>
      <c r="D60" s="263">
        <v>962.27</v>
      </c>
      <c r="E60" s="2154">
        <v>1796.7</v>
      </c>
      <c r="F60" s="2155"/>
      <c r="G60" s="1250"/>
      <c r="H60" s="1250"/>
      <c r="I60" s="263">
        <f>270.94+536.52</f>
        <v>807.46</v>
      </c>
      <c r="J60" s="263">
        <v>2314.84</v>
      </c>
      <c r="K60" s="2156">
        <v>761.53</v>
      </c>
      <c r="L60" s="2157"/>
      <c r="M60" s="2156">
        <v>107.55</v>
      </c>
      <c r="N60" s="2158"/>
      <c r="O60" s="2158"/>
      <c r="P60" s="2157"/>
    </row>
    <row r="61" spans="1:16" ht="21" hidden="1" customHeight="1">
      <c r="B61" s="259">
        <v>3</v>
      </c>
      <c r="C61" s="264" t="s">
        <v>947</v>
      </c>
      <c r="D61" s="269">
        <v>177.47</v>
      </c>
      <c r="E61" s="2140">
        <v>324.07</v>
      </c>
      <c r="F61" s="2141"/>
      <c r="G61" s="1251"/>
      <c r="H61" s="1251"/>
      <c r="I61" s="271"/>
      <c r="J61" s="265">
        <v>0</v>
      </c>
      <c r="K61" s="2148">
        <v>0</v>
      </c>
      <c r="L61" s="2149"/>
      <c r="M61" s="2148">
        <v>0</v>
      </c>
      <c r="N61" s="2150"/>
      <c r="O61" s="2150"/>
      <c r="P61" s="2149"/>
    </row>
    <row r="62" spans="1:16" ht="21" hidden="1" customHeight="1">
      <c r="B62" s="259">
        <v>4</v>
      </c>
      <c r="C62" s="264" t="s">
        <v>948</v>
      </c>
      <c r="D62" s="266">
        <v>3578.38</v>
      </c>
      <c r="E62" s="2132">
        <v>4506.95</v>
      </c>
      <c r="F62" s="2133"/>
      <c r="G62" s="1252"/>
      <c r="H62" s="1252"/>
      <c r="I62" s="269">
        <f>+I59+I60-I61</f>
        <v>1373.74</v>
      </c>
      <c r="J62" s="269">
        <f>+J59+J60-J61</f>
        <v>3688.58</v>
      </c>
      <c r="K62" s="2132">
        <f>+K59+K60-K61</f>
        <v>4450.1099999999997</v>
      </c>
      <c r="L62" s="2133"/>
      <c r="M62" s="2132">
        <f>+M59+M60-M61</f>
        <v>4557.66</v>
      </c>
      <c r="N62" s="2134"/>
      <c r="O62" s="2134"/>
      <c r="P62" s="2133"/>
    </row>
    <row r="63" spans="1:16" ht="21" hidden="1" customHeight="1">
      <c r="B63" s="259">
        <v>5</v>
      </c>
      <c r="C63" s="262" t="s">
        <v>949</v>
      </c>
      <c r="D63" s="266">
        <v>3185.98</v>
      </c>
      <c r="E63" s="2132">
        <v>3770.63</v>
      </c>
      <c r="F63" s="2133"/>
      <c r="G63" s="1252"/>
      <c r="H63" s="1252"/>
      <c r="I63" s="266">
        <f>(I59+I62)/2</f>
        <v>970.01</v>
      </c>
      <c r="J63" s="266">
        <f>(J59+J62)/2</f>
        <v>2531.16</v>
      </c>
      <c r="K63" s="2132">
        <f>(K59+K62)/2</f>
        <v>4069.3449999999998</v>
      </c>
      <c r="L63" s="2133"/>
      <c r="M63" s="2132">
        <f>(M59+M62)/2</f>
        <v>4503.8850000000002</v>
      </c>
      <c r="N63" s="2134"/>
      <c r="O63" s="2134"/>
      <c r="P63" s="2133"/>
    </row>
    <row r="64" spans="1:16" ht="21" hidden="1" customHeight="1">
      <c r="B64" s="259">
        <v>6</v>
      </c>
      <c r="C64" s="260" t="s">
        <v>950</v>
      </c>
      <c r="D64" s="272">
        <v>7.1499999999999994E-2</v>
      </c>
      <c r="E64" s="2143">
        <v>8.6800000000000002E-2</v>
      </c>
      <c r="F64" s="2144"/>
      <c r="G64" s="1253"/>
      <c r="H64" s="1253"/>
      <c r="I64" s="267">
        <v>0.105</v>
      </c>
      <c r="J64" s="267">
        <v>0.105</v>
      </c>
      <c r="K64" s="2145">
        <v>0.105</v>
      </c>
      <c r="L64" s="2146"/>
      <c r="M64" s="2145">
        <v>0.105</v>
      </c>
      <c r="N64" s="2147"/>
      <c r="O64" s="2147"/>
      <c r="P64" s="2146"/>
    </row>
    <row r="65" spans="2:16" ht="21" hidden="1" customHeight="1">
      <c r="B65" s="259">
        <v>7</v>
      </c>
      <c r="C65" s="262" t="s">
        <v>951</v>
      </c>
      <c r="D65" s="273">
        <v>227.8</v>
      </c>
      <c r="E65" s="2132">
        <v>327.29000000000002</v>
      </c>
      <c r="F65" s="2133"/>
      <c r="G65" s="1252"/>
      <c r="H65" s="1252"/>
      <c r="I65" s="266">
        <f>+I63*I64</f>
        <v>101.85105</v>
      </c>
      <c r="J65" s="266">
        <f>+J63*J64</f>
        <v>265.77179999999998</v>
      </c>
      <c r="K65" s="2132">
        <f>+K63*K64</f>
        <v>427.28122499999995</v>
      </c>
      <c r="L65" s="2133"/>
      <c r="M65" s="2132">
        <f>+M63*M64</f>
        <v>472.90792499999998</v>
      </c>
      <c r="N65" s="2134"/>
      <c r="O65" s="2134"/>
      <c r="P65" s="2133"/>
    </row>
    <row r="66" spans="2:16" ht="21" hidden="1" customHeight="1">
      <c r="B66" s="259">
        <v>8</v>
      </c>
      <c r="C66" s="268" t="s">
        <v>952</v>
      </c>
      <c r="D66" s="269">
        <v>0.01</v>
      </c>
      <c r="E66" s="2135" t="s">
        <v>953</v>
      </c>
      <c r="F66" s="2136"/>
      <c r="G66" s="1254"/>
      <c r="H66" s="1254"/>
      <c r="I66" s="270">
        <v>0</v>
      </c>
      <c r="J66" s="270">
        <v>0</v>
      </c>
      <c r="K66" s="2137">
        <v>0</v>
      </c>
      <c r="L66" s="2138"/>
      <c r="M66" s="2137">
        <v>0</v>
      </c>
      <c r="N66" s="2139"/>
      <c r="O66" s="2139"/>
      <c r="P66" s="2138"/>
    </row>
    <row r="67" spans="2:16" ht="21" hidden="1" customHeight="1">
      <c r="B67" s="259">
        <v>9</v>
      </c>
      <c r="C67" s="262" t="s">
        <v>954</v>
      </c>
      <c r="D67" s="269">
        <v>227.81</v>
      </c>
      <c r="E67" s="2140">
        <v>327.29000000000002</v>
      </c>
      <c r="F67" s="2141"/>
      <c r="G67" s="1251"/>
      <c r="H67" s="1251"/>
      <c r="I67" s="269">
        <f>+I65+I66</f>
        <v>101.85105</v>
      </c>
      <c r="J67" s="269">
        <f>+J65+J66</f>
        <v>265.77179999999998</v>
      </c>
      <c r="K67" s="2140">
        <f>+K65+K66</f>
        <v>427.28122499999995</v>
      </c>
      <c r="L67" s="2141"/>
      <c r="M67" s="2140">
        <f>+M65+M66</f>
        <v>472.90792499999998</v>
      </c>
      <c r="N67" s="2142"/>
      <c r="O67" s="2142"/>
      <c r="P67" s="2141"/>
    </row>
    <row r="68" spans="2:16" ht="21" customHeight="1"/>
    <row r="69" spans="2:16" ht="21" customHeight="1">
      <c r="E69" s="2003" t="s">
        <v>401</v>
      </c>
      <c r="F69" s="2003"/>
      <c r="G69" s="2003"/>
      <c r="H69" s="2003"/>
      <c r="I69" s="2003"/>
    </row>
    <row r="70" spans="2:16" ht="21" customHeight="1"/>
    <row r="71" spans="2:16" ht="21" customHeight="1"/>
    <row r="72" spans="2:16" ht="21" customHeight="1"/>
    <row r="73" spans="2:16" ht="21" customHeight="1"/>
    <row r="74" spans="2:16" ht="21" customHeight="1"/>
    <row r="75" spans="2:16" ht="21" customHeight="1"/>
    <row r="76" spans="2:16" ht="21" customHeight="1"/>
    <row r="77" spans="2:16" ht="21" customHeight="1"/>
    <row r="78" spans="2:16" ht="21" customHeight="1"/>
    <row r="79" spans="2:16" ht="21" customHeight="1"/>
    <row r="80" spans="2:16"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sheetData>
  <mergeCells count="46">
    <mergeCell ref="A23:F23"/>
    <mergeCell ref="F25:F37"/>
    <mergeCell ref="C40:J40"/>
    <mergeCell ref="C43:J43"/>
    <mergeCell ref="A48:A50"/>
    <mergeCell ref="B48:B50"/>
    <mergeCell ref="C48:C50"/>
    <mergeCell ref="D48:I48"/>
    <mergeCell ref="D49:D50"/>
    <mergeCell ref="G49:I49"/>
    <mergeCell ref="B55:F55"/>
    <mergeCell ref="B57:B58"/>
    <mergeCell ref="C57:C58"/>
    <mergeCell ref="D57:I57"/>
    <mergeCell ref="J57:P57"/>
    <mergeCell ref="E58:F58"/>
    <mergeCell ref="K58:L58"/>
    <mergeCell ref="M58:P58"/>
    <mergeCell ref="E59:F59"/>
    <mergeCell ref="K59:L59"/>
    <mergeCell ref="M59:P59"/>
    <mergeCell ref="E60:F60"/>
    <mergeCell ref="K60:L60"/>
    <mergeCell ref="M60:P60"/>
    <mergeCell ref="E61:F61"/>
    <mergeCell ref="K61:L61"/>
    <mergeCell ref="M61:P61"/>
    <mergeCell ref="E62:F62"/>
    <mergeCell ref="K62:L62"/>
    <mergeCell ref="M62:P62"/>
    <mergeCell ref="E63:F63"/>
    <mergeCell ref="K63:L63"/>
    <mergeCell ref="M63:P63"/>
    <mergeCell ref="E64:F64"/>
    <mergeCell ref="K64:L64"/>
    <mergeCell ref="M64:P64"/>
    <mergeCell ref="E65:F65"/>
    <mergeCell ref="K65:L65"/>
    <mergeCell ref="M65:P65"/>
    <mergeCell ref="E69:I69"/>
    <mergeCell ref="E66:F66"/>
    <mergeCell ref="K66:L66"/>
    <mergeCell ref="M66:P66"/>
    <mergeCell ref="E67:F67"/>
    <mergeCell ref="K67:L67"/>
    <mergeCell ref="M67:P67"/>
  </mergeCells>
  <phoneticPr fontId="205" type="noConversion"/>
  <pageMargins left="0.70866141732283472" right="0.70866141732283472" top="0.74803149606299213" bottom="0.74803149606299213" header="0.31496062992125984" footer="0.31496062992125984"/>
  <pageSetup paperSize="9" scale="47" fitToHeight="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6"/>
  <sheetViews>
    <sheetView showGridLines="0" view="pageBreakPreview" zoomScale="90" zoomScaleNormal="100" zoomScaleSheetLayoutView="90" workbookViewId="0">
      <selection activeCell="K22" sqref="K21:K22"/>
    </sheetView>
  </sheetViews>
  <sheetFormatPr defaultColWidth="9.140625" defaultRowHeight="15"/>
  <cols>
    <col min="1" max="1" width="9.140625" style="156"/>
    <col min="2" max="2" width="11.5703125" style="156" customWidth="1"/>
    <col min="3" max="3" width="14.85546875" style="156" bestFit="1" customWidth="1"/>
    <col min="4" max="4" width="11" style="156" customWidth="1"/>
    <col min="5" max="5" width="10.42578125" style="156" customWidth="1"/>
    <col min="6" max="6" width="10.85546875" style="156" customWidth="1"/>
    <col min="7" max="7" width="14.5703125" style="156" customWidth="1"/>
    <col min="8" max="8" width="12.5703125" style="156" customWidth="1"/>
    <col min="9" max="16384" width="9.140625" style="156"/>
  </cols>
  <sheetData>
    <row r="1" spans="1:8" ht="28.5" customHeight="1">
      <c r="A1" s="2183" t="s">
        <v>1158</v>
      </c>
      <c r="B1" s="2183"/>
      <c r="C1" s="2183"/>
      <c r="D1" s="2183"/>
      <c r="E1" s="2183"/>
      <c r="F1" s="2183"/>
      <c r="G1" s="2183"/>
      <c r="H1" s="2183"/>
    </row>
    <row r="2" spans="1:8">
      <c r="A2" s="227" t="s">
        <v>743</v>
      </c>
      <c r="B2" s="227"/>
      <c r="C2" s="180"/>
      <c r="D2" s="180"/>
      <c r="E2" s="180"/>
      <c r="F2" s="180"/>
      <c r="H2" s="238" t="s">
        <v>525</v>
      </c>
    </row>
    <row r="3" spans="1:8" ht="30">
      <c r="A3" s="2193" t="s">
        <v>623</v>
      </c>
      <c r="B3" s="2194" t="s">
        <v>733</v>
      </c>
      <c r="C3" s="2194" t="s">
        <v>539</v>
      </c>
      <c r="D3" s="2194"/>
      <c r="E3" s="292" t="s">
        <v>734</v>
      </c>
      <c r="F3" s="2194" t="s">
        <v>736</v>
      </c>
      <c r="G3" s="292" t="s">
        <v>737</v>
      </c>
      <c r="H3" s="292" t="s">
        <v>739</v>
      </c>
    </row>
    <row r="4" spans="1:8" ht="30">
      <c r="A4" s="2193"/>
      <c r="B4" s="2194"/>
      <c r="C4" s="291" t="s">
        <v>741</v>
      </c>
      <c r="D4" s="292" t="s">
        <v>742</v>
      </c>
      <c r="E4" s="292" t="s">
        <v>735</v>
      </c>
      <c r="F4" s="2194"/>
      <c r="G4" s="292" t="s">
        <v>738</v>
      </c>
      <c r="H4" s="292" t="s">
        <v>740</v>
      </c>
    </row>
    <row r="5" spans="1:8">
      <c r="A5" s="153">
        <v>1</v>
      </c>
      <c r="B5" s="290">
        <v>2</v>
      </c>
      <c r="C5" s="153">
        <v>3</v>
      </c>
      <c r="D5" s="290">
        <v>4</v>
      </c>
      <c r="E5" s="290">
        <v>5</v>
      </c>
      <c r="F5" s="153">
        <v>6</v>
      </c>
      <c r="G5" s="290">
        <v>7</v>
      </c>
      <c r="H5" s="153">
        <v>8</v>
      </c>
    </row>
    <row r="6" spans="1:8">
      <c r="A6" s="2184" t="s">
        <v>931</v>
      </c>
      <c r="B6" s="2185"/>
      <c r="C6" s="2185"/>
      <c r="D6" s="2185"/>
      <c r="E6" s="2185"/>
      <c r="F6" s="2185"/>
      <c r="G6" s="2185"/>
      <c r="H6" s="2186"/>
    </row>
    <row r="7" spans="1:8">
      <c r="A7" s="2187"/>
      <c r="B7" s="2188"/>
      <c r="C7" s="2188"/>
      <c r="D7" s="2188"/>
      <c r="E7" s="2188"/>
      <c r="F7" s="2188"/>
      <c r="G7" s="2188"/>
      <c r="H7" s="2189"/>
    </row>
    <row r="8" spans="1:8">
      <c r="A8" s="2187"/>
      <c r="B8" s="2188"/>
      <c r="C8" s="2188"/>
      <c r="D8" s="2188"/>
      <c r="E8" s="2188"/>
      <c r="F8" s="2188"/>
      <c r="G8" s="2188"/>
      <c r="H8" s="2189"/>
    </row>
    <row r="9" spans="1:8">
      <c r="A9" s="2187"/>
      <c r="B9" s="2188"/>
      <c r="C9" s="2188"/>
      <c r="D9" s="2188"/>
      <c r="E9" s="2188"/>
      <c r="F9" s="2188"/>
      <c r="G9" s="2188"/>
      <c r="H9" s="2189"/>
    </row>
    <row r="10" spans="1:8">
      <c r="A10" s="2187"/>
      <c r="B10" s="2188"/>
      <c r="C10" s="2188"/>
      <c r="D10" s="2188"/>
      <c r="E10" s="2188"/>
      <c r="F10" s="2188"/>
      <c r="G10" s="2188"/>
      <c r="H10" s="2189"/>
    </row>
    <row r="11" spans="1:8">
      <c r="A11" s="2187"/>
      <c r="B11" s="2188"/>
      <c r="C11" s="2188"/>
      <c r="D11" s="2188"/>
      <c r="E11" s="2188"/>
      <c r="F11" s="2188"/>
      <c r="G11" s="2188"/>
      <c r="H11" s="2189"/>
    </row>
    <row r="12" spans="1:8">
      <c r="A12" s="2190"/>
      <c r="B12" s="2191"/>
      <c r="C12" s="2191"/>
      <c r="D12" s="2191"/>
      <c r="E12" s="2191"/>
      <c r="F12" s="2191"/>
      <c r="G12" s="2191"/>
      <c r="H12" s="2192"/>
    </row>
    <row r="13" spans="1:8">
      <c r="A13" s="156" t="s">
        <v>744</v>
      </c>
    </row>
    <row r="16" spans="1:8" ht="15.75">
      <c r="F16" s="2181" t="s">
        <v>401</v>
      </c>
      <c r="G16" s="2181"/>
      <c r="H16" s="2182"/>
    </row>
  </sheetData>
  <mergeCells count="7">
    <mergeCell ref="F16:H16"/>
    <mergeCell ref="A1:H1"/>
    <mergeCell ref="A6:H12"/>
    <mergeCell ref="A3:A4"/>
    <mergeCell ref="B3:B4"/>
    <mergeCell ref="C3:D3"/>
    <mergeCell ref="F3:F4"/>
  </mergeCells>
  <pageMargins left="0.7" right="0.7" top="0.75" bottom="0.75" header="0.3" footer="0.3"/>
  <pageSetup paperSize="9" scale="92" orientation="portrait"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92D050"/>
    <pageSetUpPr fitToPage="1"/>
  </sheetPr>
  <dimension ref="A1:L148"/>
  <sheetViews>
    <sheetView showGridLines="0" view="pageBreakPreview" topLeftCell="B1" zoomScale="70" zoomScaleNormal="90" zoomScaleSheetLayoutView="70" workbookViewId="0">
      <pane xSplit="1" ySplit="1" topLeftCell="E2" activePane="bottomRight" state="frozen"/>
      <selection activeCell="B1" sqref="B1"/>
      <selection pane="topRight" activeCell="C1" sqref="C1"/>
      <selection pane="bottomLeft" activeCell="B2" sqref="B2"/>
      <selection pane="bottomRight" activeCell="K6" sqref="K6"/>
    </sheetView>
  </sheetViews>
  <sheetFormatPr defaultColWidth="9.140625" defaultRowHeight="15.75"/>
  <cols>
    <col min="1" max="1" width="8.140625" style="74" customWidth="1"/>
    <col min="2" max="2" width="34.5703125" style="74" customWidth="1"/>
    <col min="3" max="5" width="18.7109375" style="74" customWidth="1"/>
    <col min="6" max="7" width="18.7109375" style="74" hidden="1" customWidth="1"/>
    <col min="8" max="8" width="18.7109375" style="74" customWidth="1"/>
    <col min="9" max="9" width="18.7109375" style="809" customWidth="1"/>
    <col min="10" max="11" width="18.7109375" style="74" customWidth="1"/>
    <col min="12" max="12" width="3.5703125" style="74" customWidth="1"/>
    <col min="13" max="16384" width="9.140625" style="74"/>
  </cols>
  <sheetData>
    <row r="1" spans="1:11" ht="21" customHeight="1">
      <c r="A1" s="2195" t="s">
        <v>1158</v>
      </c>
      <c r="B1" s="2195"/>
      <c r="C1" s="2195"/>
      <c r="D1" s="2195"/>
      <c r="E1" s="2195"/>
      <c r="F1" s="2195"/>
      <c r="G1" s="2195"/>
      <c r="H1" s="2195"/>
      <c r="I1" s="810"/>
    </row>
    <row r="2" spans="1:11" ht="21" customHeight="1">
      <c r="A2" s="2199" t="s">
        <v>77</v>
      </c>
      <c r="B2" s="2199"/>
      <c r="C2" s="355"/>
      <c r="D2" s="355"/>
      <c r="E2" s="355"/>
      <c r="F2" s="355"/>
      <c r="G2" s="1987"/>
      <c r="H2" s="1987"/>
      <c r="I2" s="807"/>
      <c r="J2" s="1987" t="s">
        <v>633</v>
      </c>
      <c r="K2" s="1987"/>
    </row>
    <row r="3" spans="1:11" ht="21" customHeight="1">
      <c r="B3" s="76"/>
      <c r="G3" s="2198" t="s">
        <v>320</v>
      </c>
      <c r="H3" s="2198"/>
      <c r="I3" s="836"/>
    </row>
    <row r="4" spans="1:11" ht="43.5" customHeight="1">
      <c r="A4" s="2196" t="s">
        <v>300</v>
      </c>
      <c r="B4" s="2196" t="s">
        <v>48</v>
      </c>
      <c r="C4" s="1829" t="s">
        <v>1846</v>
      </c>
      <c r="D4" s="1831"/>
      <c r="E4" s="1824" t="s">
        <v>1847</v>
      </c>
      <c r="F4" s="1825"/>
      <c r="G4" s="1825"/>
      <c r="H4" s="1826"/>
      <c r="I4" s="1829" t="s">
        <v>1159</v>
      </c>
      <c r="J4" s="1830"/>
      <c r="K4" s="1831"/>
    </row>
    <row r="5" spans="1:11" ht="43.5" customHeight="1">
      <c r="A5" s="2197"/>
      <c r="B5" s="2197"/>
      <c r="C5" s="361" t="s">
        <v>1172</v>
      </c>
      <c r="D5" s="282" t="s">
        <v>1253</v>
      </c>
      <c r="E5" s="361" t="s">
        <v>1160</v>
      </c>
      <c r="F5" s="361" t="s">
        <v>1163</v>
      </c>
      <c r="G5" s="361" t="s">
        <v>1164</v>
      </c>
      <c r="H5" s="363" t="s">
        <v>1165</v>
      </c>
      <c r="I5" s="811" t="s">
        <v>1841</v>
      </c>
      <c r="J5" s="361" t="s">
        <v>1842</v>
      </c>
      <c r="K5" s="361" t="s">
        <v>1843</v>
      </c>
    </row>
    <row r="6" spans="1:11" ht="31.5">
      <c r="A6" s="417">
        <v>1</v>
      </c>
      <c r="B6" s="422" t="s">
        <v>250</v>
      </c>
      <c r="C6" s="552">
        <f>'F15'!C13</f>
        <v>103.07752799999999</v>
      </c>
      <c r="D6" s="552">
        <f>'F15'!D13</f>
        <v>109.02610352608558</v>
      </c>
      <c r="E6" s="552">
        <f>'F15'!E8</f>
        <v>129.28391199999999</v>
      </c>
      <c r="F6" s="475"/>
      <c r="G6" s="475"/>
      <c r="H6" s="552">
        <f>'F15'!F8</f>
        <v>118.36058441784557</v>
      </c>
      <c r="I6" s="552">
        <f>'F15'!G8</f>
        <v>62.693075297664002</v>
      </c>
      <c r="J6" s="552">
        <f>'F15'!H8</f>
        <v>72.116142278050546</v>
      </c>
      <c r="K6" s="552">
        <f>'F15'!I13</f>
        <v>82.723118375977734</v>
      </c>
    </row>
    <row r="7" spans="1:11">
      <c r="A7" s="417">
        <v>2</v>
      </c>
      <c r="B7" s="422" t="s">
        <v>251</v>
      </c>
      <c r="C7" s="551">
        <f>'F14-1'!D37</f>
        <v>193.04623591720511</v>
      </c>
      <c r="D7" s="551">
        <f>'F14-1'!E37</f>
        <v>181.00853521921925</v>
      </c>
      <c r="E7" s="551">
        <f>'F14-1'!F37</f>
        <v>203.28547756760003</v>
      </c>
      <c r="F7" s="475"/>
      <c r="G7" s="475"/>
      <c r="H7" s="551">
        <f>'F14-1'!I37</f>
        <v>200.07128251266437</v>
      </c>
      <c r="I7" s="551">
        <f>'F14-1'!J37</f>
        <v>226.22857750689752</v>
      </c>
      <c r="J7" s="551">
        <f>'F14-1'!K37</f>
        <v>252.64190648925509</v>
      </c>
      <c r="K7" s="551">
        <f>'F14-1'!L37</f>
        <v>285.05993943634553</v>
      </c>
    </row>
    <row r="8" spans="1:11" ht="31.5">
      <c r="A8" s="417">
        <v>3</v>
      </c>
      <c r="B8" s="422" t="s">
        <v>252</v>
      </c>
      <c r="C8" s="552">
        <f>'F16'!C58</f>
        <v>44.641063999999993</v>
      </c>
      <c r="D8" s="552">
        <f>'F16'!D58</f>
        <v>43.966289359157621</v>
      </c>
      <c r="E8" s="552">
        <f>'F16'!E58</f>
        <v>45.78</v>
      </c>
      <c r="F8" s="475"/>
      <c r="G8" s="475"/>
      <c r="H8" s="552">
        <f>'F16'!F58</f>
        <v>45.916448693165435</v>
      </c>
      <c r="I8" s="552">
        <f>'F16'!I58</f>
        <v>80.119684150110402</v>
      </c>
      <c r="J8" s="552">
        <f>'F16'!J58</f>
        <v>84.209540482498568</v>
      </c>
      <c r="K8" s="552">
        <f>'F16'!K58</f>
        <v>89.150002155242419</v>
      </c>
    </row>
    <row r="9" spans="1:11">
      <c r="A9" s="417">
        <v>4</v>
      </c>
      <c r="B9" s="422" t="s">
        <v>913</v>
      </c>
      <c r="C9" s="551">
        <v>12.96</v>
      </c>
      <c r="D9" s="551">
        <f>'[128]Sch P&amp;L 22-25'!B64/10^7</f>
        <v>11.437299851000001</v>
      </c>
      <c r="E9" s="551">
        <v>11.96</v>
      </c>
      <c r="F9" s="475"/>
      <c r="G9" s="475"/>
      <c r="H9" s="551">
        <f>D9</f>
        <v>11.437299851000001</v>
      </c>
      <c r="I9" s="551">
        <f>H9</f>
        <v>11.437299851000001</v>
      </c>
      <c r="J9" s="276">
        <f>I9</f>
        <v>11.437299851000001</v>
      </c>
      <c r="K9" s="276">
        <f>J9</f>
        <v>11.437299851000001</v>
      </c>
    </row>
    <row r="10" spans="1:11" ht="21" customHeight="1">
      <c r="A10" s="417"/>
      <c r="B10" s="422" t="s">
        <v>253</v>
      </c>
      <c r="C10" s="475"/>
      <c r="D10" s="476"/>
      <c r="E10" s="477"/>
      <c r="F10" s="478"/>
      <c r="G10" s="478"/>
      <c r="H10" s="478"/>
      <c r="I10" s="478"/>
      <c r="J10" s="130"/>
      <c r="K10" s="130"/>
    </row>
    <row r="11" spans="1:11">
      <c r="A11" s="417">
        <v>5</v>
      </c>
      <c r="B11" s="422" t="s">
        <v>254</v>
      </c>
      <c r="C11" s="551">
        <v>0</v>
      </c>
      <c r="D11" s="551">
        <v>0</v>
      </c>
      <c r="E11" s="551">
        <v>0</v>
      </c>
      <c r="F11" s="551">
        <v>0</v>
      </c>
      <c r="G11" s="551">
        <v>0</v>
      </c>
      <c r="H11" s="551">
        <v>0</v>
      </c>
      <c r="I11" s="551">
        <v>0</v>
      </c>
      <c r="J11" s="551">
        <v>0</v>
      </c>
      <c r="K11" s="551">
        <v>0</v>
      </c>
    </row>
    <row r="12" spans="1:11" ht="21" customHeight="1" thickBot="1">
      <c r="A12" s="479"/>
      <c r="B12" s="480" t="s">
        <v>255</v>
      </c>
      <c r="C12" s="553">
        <f>SUM(C6:C9)-C11</f>
        <v>353.72482791720506</v>
      </c>
      <c r="D12" s="553">
        <f>SUM(D6:D9)-D11</f>
        <v>345.43822795546242</v>
      </c>
      <c r="E12" s="553">
        <f>SUM(E6:E9)-E11</f>
        <v>390.30938956760002</v>
      </c>
      <c r="F12" s="488"/>
      <c r="G12" s="488"/>
      <c r="H12" s="553">
        <f t="shared" ref="H12:K12" si="0">SUM(H6:H9)-H11</f>
        <v>375.78561547467535</v>
      </c>
      <c r="I12" s="553">
        <f t="shared" si="0"/>
        <v>380.4786368056719</v>
      </c>
      <c r="J12" s="553">
        <f t="shared" si="0"/>
        <v>420.40488910080416</v>
      </c>
      <c r="K12" s="553">
        <f t="shared" si="0"/>
        <v>468.37035981856565</v>
      </c>
    </row>
    <row r="13" spans="1:11" ht="21" customHeight="1" thickTop="1">
      <c r="J13" s="527"/>
      <c r="K13" s="527"/>
    </row>
    <row r="14" spans="1:11" ht="15.75" customHeight="1">
      <c r="A14" s="2200" t="s">
        <v>300</v>
      </c>
      <c r="B14" s="2200" t="s">
        <v>48</v>
      </c>
      <c r="C14" s="1742" t="s">
        <v>1846</v>
      </c>
      <c r="D14" s="1744"/>
      <c r="E14" s="2202" t="s">
        <v>1847</v>
      </c>
      <c r="F14" s="2203"/>
      <c r="G14" s="2203"/>
      <c r="H14" s="2204"/>
      <c r="I14" s="1742" t="s">
        <v>1159</v>
      </c>
      <c r="J14" s="1743"/>
      <c r="K14" s="1744"/>
    </row>
    <row r="15" spans="1:11" ht="31.5">
      <c r="A15" s="2201"/>
      <c r="B15" s="2201"/>
      <c r="C15" s="1006" t="s">
        <v>1172</v>
      </c>
      <c r="D15" s="827" t="s">
        <v>230</v>
      </c>
      <c r="E15" s="1006" t="s">
        <v>1160</v>
      </c>
      <c r="F15" s="1006" t="s">
        <v>1163</v>
      </c>
      <c r="G15" s="1006" t="s">
        <v>1164</v>
      </c>
      <c r="H15" s="1007" t="s">
        <v>1165</v>
      </c>
      <c r="I15" s="973" t="s">
        <v>1841</v>
      </c>
      <c r="J15" s="971" t="s">
        <v>1842</v>
      </c>
      <c r="K15" s="971" t="s">
        <v>1843</v>
      </c>
    </row>
    <row r="16" spans="1:11" ht="36.75" customHeight="1">
      <c r="A16" s="1008">
        <v>1</v>
      </c>
      <c r="B16" s="1009" t="s">
        <v>250</v>
      </c>
      <c r="C16" s="830"/>
      <c r="D16" s="830">
        <f>'F15'!D10</f>
        <v>49.511429530000008</v>
      </c>
      <c r="E16" s="830"/>
      <c r="F16" s="1010"/>
      <c r="G16" s="1010"/>
      <c r="H16" s="830"/>
      <c r="I16" s="830"/>
      <c r="J16" s="830"/>
      <c r="K16" s="830"/>
    </row>
    <row r="17" spans="1:12" ht="21" hidden="1" customHeight="1">
      <c r="A17" s="1008">
        <v>2</v>
      </c>
      <c r="B17" s="1009" t="s">
        <v>251</v>
      </c>
      <c r="C17" s="1011"/>
      <c r="D17" s="1011"/>
      <c r="E17" s="1011"/>
      <c r="F17" s="1010"/>
      <c r="G17" s="1010"/>
      <c r="H17" s="1011"/>
      <c r="I17" s="1011"/>
      <c r="J17" s="1011"/>
      <c r="K17" s="1011"/>
    </row>
    <row r="18" spans="1:12" ht="21" hidden="1" customHeight="1">
      <c r="A18" s="1008">
        <v>3</v>
      </c>
      <c r="B18" s="1009" t="s">
        <v>252</v>
      </c>
      <c r="C18" s="830"/>
      <c r="D18" s="830"/>
      <c r="E18" s="830"/>
      <c r="F18" s="1010"/>
      <c r="G18" s="1010"/>
      <c r="H18" s="830"/>
      <c r="I18" s="830"/>
      <c r="J18" s="830"/>
      <c r="K18" s="830"/>
    </row>
    <row r="19" spans="1:12" ht="21" hidden="1" customHeight="1">
      <c r="A19" s="1008">
        <v>4</v>
      </c>
      <c r="B19" s="1009" t="s">
        <v>913</v>
      </c>
      <c r="C19" s="1011"/>
      <c r="D19" s="1011"/>
      <c r="E19" s="1011"/>
      <c r="F19" s="1010"/>
      <c r="G19" s="1010"/>
      <c r="H19" s="1011"/>
      <c r="I19" s="1011"/>
      <c r="J19" s="1012"/>
      <c r="K19" s="1012"/>
    </row>
    <row r="20" spans="1:12" ht="21" hidden="1" customHeight="1">
      <c r="A20" s="1008"/>
      <c r="B20" s="1009" t="s">
        <v>253</v>
      </c>
      <c r="C20" s="1010"/>
      <c r="D20" s="1013"/>
      <c r="E20" s="1014"/>
      <c r="F20" s="1015"/>
      <c r="G20" s="1015"/>
      <c r="H20" s="1015"/>
      <c r="I20" s="1015"/>
      <c r="J20" s="781"/>
      <c r="K20" s="781"/>
    </row>
    <row r="21" spans="1:12" ht="21" hidden="1" customHeight="1">
      <c r="A21" s="1008">
        <v>5</v>
      </c>
      <c r="B21" s="1009" t="s">
        <v>254</v>
      </c>
      <c r="C21" s="1011"/>
      <c r="D21" s="1011"/>
      <c r="E21" s="1014"/>
      <c r="F21" s="1015"/>
      <c r="G21" s="1015"/>
      <c r="H21" s="1015"/>
      <c r="I21" s="1015"/>
      <c r="J21" s="781"/>
      <c r="K21" s="781"/>
    </row>
    <row r="22" spans="1:12" ht="21" hidden="1" customHeight="1">
      <c r="A22" s="1016"/>
      <c r="B22" s="1017" t="s">
        <v>255</v>
      </c>
      <c r="C22" s="1018"/>
      <c r="D22" s="1018"/>
      <c r="E22" s="1018"/>
      <c r="F22" s="1019"/>
      <c r="G22" s="1019"/>
      <c r="H22" s="1018"/>
      <c r="I22" s="1018"/>
      <c r="J22" s="1018"/>
      <c r="K22" s="1018"/>
    </row>
    <row r="23" spans="1:12" ht="21" customHeight="1">
      <c r="A23" s="1008">
        <v>2</v>
      </c>
      <c r="B23" s="1009" t="s">
        <v>251</v>
      </c>
      <c r="C23" s="1011"/>
      <c r="D23" s="1011">
        <f>'F14-1'!E38</f>
        <v>223.81644128400001</v>
      </c>
      <c r="E23" s="1011"/>
      <c r="F23" s="1010"/>
      <c r="G23" s="1010"/>
      <c r="H23" s="1011"/>
      <c r="I23" s="1011"/>
      <c r="J23" s="1011"/>
      <c r="K23" s="1011"/>
    </row>
    <row r="24" spans="1:12" ht="48" customHeight="1">
      <c r="A24" s="1008">
        <v>3</v>
      </c>
      <c r="B24" s="1009" t="s">
        <v>252</v>
      </c>
      <c r="C24" s="830"/>
      <c r="D24" s="830">
        <f>'F16'!D35</f>
        <v>67.024212502999987</v>
      </c>
      <c r="E24" s="830"/>
      <c r="F24" s="1010"/>
      <c r="G24" s="1010"/>
      <c r="H24" s="830"/>
      <c r="I24" s="830"/>
      <c r="J24" s="830"/>
      <c r="K24" s="830"/>
    </row>
    <row r="25" spans="1:12" ht="21" customHeight="1" thickBot="1">
      <c r="A25" s="1016"/>
      <c r="B25" s="1017" t="s">
        <v>255</v>
      </c>
      <c r="C25" s="1018">
        <f>SUM(C19:C22)-C24</f>
        <v>0</v>
      </c>
      <c r="D25" s="1018">
        <f>D16+D23+D24</f>
        <v>340.35208331699999</v>
      </c>
      <c r="E25" s="1650"/>
      <c r="F25" s="1019"/>
      <c r="G25" s="1019"/>
      <c r="H25" s="1018">
        <f t="shared" ref="H25:K25" si="1">SUM(H19:H22)-H24</f>
        <v>0</v>
      </c>
      <c r="I25" s="1018"/>
      <c r="J25" s="1018">
        <f t="shared" si="1"/>
        <v>0</v>
      </c>
      <c r="K25" s="1018">
        <f t="shared" si="1"/>
        <v>0</v>
      </c>
    </row>
    <row r="26" spans="1:12" ht="21" customHeight="1" thickTop="1"/>
    <row r="27" spans="1:12" s="674" customFormat="1" ht="21" hidden="1" customHeight="1">
      <c r="B27" s="674" t="s">
        <v>1826</v>
      </c>
    </row>
    <row r="28" spans="1:12" ht="31.5" hidden="1">
      <c r="B28" s="422" t="s">
        <v>250</v>
      </c>
      <c r="C28" s="130"/>
      <c r="D28" s="1020"/>
      <c r="E28" s="1021"/>
      <c r="H28" s="1090"/>
    </row>
    <row r="29" spans="1:12" ht="21" hidden="1" customHeight="1">
      <c r="B29" s="422" t="s">
        <v>251</v>
      </c>
      <c r="C29" s="130"/>
      <c r="D29" s="1020"/>
      <c r="E29" s="1021"/>
      <c r="H29" s="1090"/>
    </row>
    <row r="30" spans="1:12" ht="31.5" hidden="1">
      <c r="B30" s="422" t="s">
        <v>252</v>
      </c>
      <c r="C30" s="130"/>
      <c r="D30" s="1020"/>
      <c r="E30" s="1021"/>
      <c r="H30" s="1090"/>
    </row>
    <row r="31" spans="1:12" ht="21" hidden="1" customHeight="1">
      <c r="B31" s="130" t="s">
        <v>1033</v>
      </c>
      <c r="C31" s="130"/>
      <c r="D31" s="1021"/>
      <c r="E31" s="1021"/>
      <c r="H31" s="1090"/>
    </row>
    <row r="32" spans="1:12" ht="21" customHeight="1">
      <c r="J32" s="2181" t="s">
        <v>401</v>
      </c>
      <c r="K32" s="2181"/>
      <c r="L32" s="2181"/>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sheetData>
  <mergeCells count="16">
    <mergeCell ref="I14:K14"/>
    <mergeCell ref="I4:K4"/>
    <mergeCell ref="J32:L32"/>
    <mergeCell ref="A14:A15"/>
    <mergeCell ref="B14:B15"/>
    <mergeCell ref="C14:D14"/>
    <mergeCell ref="E14:H14"/>
    <mergeCell ref="J2:K2"/>
    <mergeCell ref="A1:H1"/>
    <mergeCell ref="A4:A5"/>
    <mergeCell ref="B4:B5"/>
    <mergeCell ref="G3:H3"/>
    <mergeCell ref="G2:H2"/>
    <mergeCell ref="C4:D4"/>
    <mergeCell ref="A2:B2"/>
    <mergeCell ref="E4:H4"/>
  </mergeCells>
  <pageMargins left="0.70866141732283472" right="0.70866141732283472" top="0.74803149606299213" bottom="0.74803149606299213" header="0.31496062992125984" footer="0.31496062992125984"/>
  <pageSetup paperSize="9" scale="49" orientation="portrait" r:id="rId1"/>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R37"/>
  <sheetViews>
    <sheetView showGridLines="0" view="pageBreakPreview" topLeftCell="B21" zoomScale="80" zoomScaleNormal="90" zoomScaleSheetLayoutView="80" workbookViewId="0">
      <pane xSplit="2" topLeftCell="D1" activePane="topRight" state="frozen"/>
      <selection activeCell="B1" sqref="B1"/>
      <selection pane="topRight" activeCell="F10" sqref="F10"/>
    </sheetView>
  </sheetViews>
  <sheetFormatPr defaultRowHeight="16.5"/>
  <cols>
    <col min="1" max="1" width="4.85546875" style="1095" customWidth="1"/>
    <col min="2" max="2" width="9.140625" style="1095"/>
    <col min="3" max="3" width="58.5703125" style="1095" customWidth="1"/>
    <col min="4" max="4" width="12.140625" style="1096" customWidth="1"/>
    <col min="5" max="7" width="12.140625" style="1095" customWidth="1"/>
    <col min="8" max="8" width="12.85546875" style="1095" customWidth="1"/>
    <col min="9" max="10" width="10.5703125" style="1651" customWidth="1"/>
    <col min="11" max="11" width="10.42578125" style="1651" customWidth="1"/>
    <col min="12" max="12" width="9.140625" style="1651"/>
    <col min="13" max="13" width="4.7109375" style="1651" customWidth="1"/>
    <col min="14" max="15" width="10.5703125" style="1651" customWidth="1"/>
    <col min="16" max="16" width="10.42578125" style="1651" customWidth="1"/>
    <col min="17" max="18" width="9.140625" style="1651"/>
    <col min="19" max="16384" width="9.140625" style="1095"/>
  </cols>
  <sheetData>
    <row r="1" spans="2:17">
      <c r="B1" s="1094" t="s">
        <v>2184</v>
      </c>
    </row>
    <row r="2" spans="2:17">
      <c r="B2" s="1094"/>
    </row>
    <row r="3" spans="2:17">
      <c r="B3" s="1094"/>
    </row>
    <row r="4" spans="2:17">
      <c r="B4" s="1094" t="s">
        <v>2185</v>
      </c>
      <c r="I4" s="2205"/>
      <c r="J4" s="2205"/>
      <c r="K4" s="2205"/>
      <c r="L4" s="2205"/>
      <c r="N4" s="2205"/>
      <c r="O4" s="2205"/>
      <c r="P4" s="2205"/>
      <c r="Q4" s="2205"/>
    </row>
    <row r="5" spans="2:17" ht="30">
      <c r="B5" s="1092" t="s">
        <v>2182</v>
      </c>
      <c r="C5" s="1093" t="s">
        <v>48</v>
      </c>
      <c r="D5" s="1092" t="s">
        <v>2183</v>
      </c>
      <c r="E5" s="1093" t="s">
        <v>2195</v>
      </c>
      <c r="I5" s="1652"/>
      <c r="J5" s="1652"/>
      <c r="K5" s="1653"/>
      <c r="L5" s="1652"/>
      <c r="N5" s="1652"/>
      <c r="O5" s="1652"/>
      <c r="P5" s="1653"/>
      <c r="Q5" s="1652"/>
    </row>
    <row r="6" spans="2:17">
      <c r="B6" s="1097">
        <v>1</v>
      </c>
      <c r="C6" s="1098" t="s">
        <v>2186</v>
      </c>
      <c r="D6" s="1097" t="s">
        <v>137</v>
      </c>
      <c r="E6" s="1099">
        <f>SUM('F13'!D6:D8)</f>
        <v>334.00092810446245</v>
      </c>
      <c r="I6" s="1654"/>
      <c r="J6" s="1654"/>
      <c r="K6" s="1655"/>
      <c r="L6" s="1654"/>
      <c r="N6" s="1656"/>
      <c r="O6" s="1656"/>
      <c r="P6" s="1656"/>
      <c r="Q6" s="1656"/>
    </row>
    <row r="7" spans="2:17">
      <c r="B7" s="1097">
        <v>2</v>
      </c>
      <c r="C7" s="1098" t="s">
        <v>2187</v>
      </c>
      <c r="D7" s="1097" t="s">
        <v>142</v>
      </c>
      <c r="E7" s="1099">
        <f>'F13'!D25</f>
        <v>340.35208331699999</v>
      </c>
    </row>
    <row r="8" spans="2:17">
      <c r="B8" s="1097">
        <v>3</v>
      </c>
      <c r="C8" s="1098" t="s">
        <v>2188</v>
      </c>
      <c r="D8" s="1097" t="s">
        <v>2192</v>
      </c>
      <c r="E8" s="1099">
        <f>E6-E7</f>
        <v>-6.3511552125375488</v>
      </c>
    </row>
    <row r="9" spans="2:17">
      <c r="B9" s="1097">
        <v>4</v>
      </c>
      <c r="C9" s="1098" t="s">
        <v>2189</v>
      </c>
      <c r="D9" s="1097" t="s">
        <v>2193</v>
      </c>
      <c r="E9" s="1099"/>
    </row>
    <row r="10" spans="2:17">
      <c r="B10" s="1097">
        <v>5</v>
      </c>
      <c r="C10" s="1098" t="s">
        <v>2190</v>
      </c>
      <c r="D10" s="1097" t="s">
        <v>2194</v>
      </c>
      <c r="E10" s="1099">
        <f>E8*1/3</f>
        <v>-2.1170517375125164</v>
      </c>
      <c r="K10" s="1656"/>
    </row>
    <row r="11" spans="2:17">
      <c r="B11" s="1097">
        <v>6</v>
      </c>
      <c r="C11" s="1098" t="s">
        <v>2191</v>
      </c>
      <c r="D11" s="1097"/>
      <c r="E11" s="1099">
        <f>E9+E10</f>
        <v>-2.1170517375125164</v>
      </c>
    </row>
    <row r="14" spans="2:17">
      <c r="B14" s="1094" t="s">
        <v>2211</v>
      </c>
    </row>
    <row r="15" spans="2:17" ht="30">
      <c r="B15" s="1092" t="s">
        <v>2182</v>
      </c>
      <c r="C15" s="1093" t="s">
        <v>48</v>
      </c>
      <c r="D15" s="1092" t="s">
        <v>2183</v>
      </c>
      <c r="E15" s="1093" t="s">
        <v>2195</v>
      </c>
    </row>
    <row r="16" spans="2:17">
      <c r="B16" s="1097">
        <v>1</v>
      </c>
      <c r="C16" s="1098" t="s">
        <v>2196</v>
      </c>
      <c r="D16" s="1097" t="s">
        <v>137</v>
      </c>
      <c r="E16" s="1100">
        <f ca="1">'F19'!D12</f>
        <v>11.771482246147199</v>
      </c>
    </row>
    <row r="17" spans="2:5">
      <c r="B17" s="1097">
        <v>2</v>
      </c>
      <c r="C17" s="1098" t="s">
        <v>2197</v>
      </c>
      <c r="D17" s="1097" t="s">
        <v>142</v>
      </c>
      <c r="E17" s="1099">
        <v>0</v>
      </c>
    </row>
    <row r="18" spans="2:5">
      <c r="B18" s="1097">
        <v>3</v>
      </c>
      <c r="C18" s="1098" t="s">
        <v>2198</v>
      </c>
      <c r="D18" s="1097" t="s">
        <v>2192</v>
      </c>
      <c r="E18" s="1100">
        <f ca="1">E16-E17</f>
        <v>11.771482246147199</v>
      </c>
    </row>
    <row r="19" spans="2:5">
      <c r="B19" s="1097">
        <v>4</v>
      </c>
      <c r="C19" s="1098" t="s">
        <v>2201</v>
      </c>
      <c r="D19" s="1097" t="s">
        <v>2202</v>
      </c>
      <c r="E19" s="1100">
        <f ca="1">E18*1/3</f>
        <v>3.9238274153823998</v>
      </c>
    </row>
    <row r="20" spans="2:5" ht="16.5" customHeight="1">
      <c r="B20" s="1097">
        <v>5</v>
      </c>
      <c r="C20" s="1098" t="s">
        <v>2199</v>
      </c>
      <c r="D20" s="1097" t="s">
        <v>2203</v>
      </c>
      <c r="E20" s="1100">
        <f ca="1">E18*2/3</f>
        <v>7.8476548307647995</v>
      </c>
    </row>
    <row r="23" spans="2:5">
      <c r="B23" s="1094" t="s">
        <v>2200</v>
      </c>
    </row>
    <row r="24" spans="2:5" ht="30">
      <c r="B24" s="1092" t="s">
        <v>2182</v>
      </c>
      <c r="C24" s="1093" t="s">
        <v>48</v>
      </c>
      <c r="D24" s="1092" t="s">
        <v>2183</v>
      </c>
      <c r="E24" s="1093" t="s">
        <v>2195</v>
      </c>
    </row>
    <row r="25" spans="2:5">
      <c r="B25" s="1097">
        <v>1</v>
      </c>
      <c r="C25" s="1098" t="s">
        <v>2204</v>
      </c>
      <c r="D25" s="1097" t="s">
        <v>137</v>
      </c>
      <c r="E25" s="1100">
        <f ca="1">Incentive!D30</f>
        <v>12.091317142051214</v>
      </c>
    </row>
    <row r="26" spans="2:5">
      <c r="B26" s="1097">
        <v>2</v>
      </c>
      <c r="C26" s="1098" t="s">
        <v>2205</v>
      </c>
      <c r="D26" s="1097" t="s">
        <v>2207</v>
      </c>
      <c r="E26" s="1099">
        <f ca="1">E25*1/3</f>
        <v>4.0304390473504048</v>
      </c>
    </row>
    <row r="27" spans="2:5" ht="15" customHeight="1">
      <c r="B27" s="1097">
        <v>3</v>
      </c>
      <c r="C27" s="1098" t="s">
        <v>2206</v>
      </c>
      <c r="D27" s="1097" t="s">
        <v>2208</v>
      </c>
      <c r="E27" s="1100">
        <f ca="1">E25*2/3</f>
        <v>8.0608780947008096</v>
      </c>
    </row>
    <row r="30" spans="2:5">
      <c r="B30" s="1094" t="s">
        <v>2209</v>
      </c>
    </row>
    <row r="31" spans="2:5" ht="30">
      <c r="B31" s="1092" t="s">
        <v>2182</v>
      </c>
      <c r="C31" s="1093" t="s">
        <v>48</v>
      </c>
      <c r="D31" s="1092" t="s">
        <v>2183</v>
      </c>
      <c r="E31" s="1093" t="s">
        <v>2195</v>
      </c>
    </row>
    <row r="32" spans="2:5">
      <c r="B32" s="1097">
        <v>1</v>
      </c>
      <c r="C32" s="1098" t="s">
        <v>2210</v>
      </c>
      <c r="D32" s="1097" t="s">
        <v>137</v>
      </c>
      <c r="E32" s="1100">
        <f ca="1">Incentive!D23</f>
        <v>7.4445232033846978</v>
      </c>
    </row>
    <row r="33" spans="2:6">
      <c r="B33" s="1097">
        <v>2</v>
      </c>
      <c r="C33" s="1098" t="s">
        <v>2205</v>
      </c>
      <c r="D33" s="1097" t="s">
        <v>2207</v>
      </c>
      <c r="E33" s="1099">
        <f ca="1">E32*1/3</f>
        <v>2.4815077344615659</v>
      </c>
    </row>
    <row r="34" spans="2:6" ht="16.5" customHeight="1">
      <c r="B34" s="1097">
        <v>3</v>
      </c>
      <c r="C34" s="1098" t="s">
        <v>2206</v>
      </c>
      <c r="D34" s="1097" t="s">
        <v>2208</v>
      </c>
      <c r="E34" s="1100">
        <f ca="1">E32*2/3</f>
        <v>4.9630154689231318</v>
      </c>
    </row>
    <row r="37" spans="2:6">
      <c r="D37" s="2181" t="s">
        <v>401</v>
      </c>
      <c r="E37" s="2181"/>
      <c r="F37" s="2181"/>
    </row>
  </sheetData>
  <mergeCells count="3">
    <mergeCell ref="I4:L4"/>
    <mergeCell ref="N4:Q4"/>
    <mergeCell ref="D37:F37"/>
  </mergeCells>
  <pageMargins left="0.7" right="0.7" top="0.75" bottom="0.75" header="0.3" footer="0.3"/>
  <pageSetup scale="62" orientation="portrait" r:id="rId1"/>
  <colBreaks count="1" manualBreakCount="1">
    <brk id="9" max="33"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view="pageBreakPreview" zoomScale="60" zoomScaleNormal="90" workbookViewId="0">
      <pane xSplit="2" topLeftCell="C1" activePane="topRight" state="frozen"/>
      <selection pane="topRight" activeCell="P15" sqref="P15"/>
    </sheetView>
  </sheetViews>
  <sheetFormatPr defaultRowHeight="16.5"/>
  <cols>
    <col min="1" max="1" width="5.28515625" style="1095" customWidth="1"/>
    <col min="2" max="2" width="49.28515625" style="1095" customWidth="1"/>
    <col min="3" max="5" width="9.28515625" style="1095" bestFit="1" customWidth="1"/>
    <col min="6" max="7" width="10.140625" style="1095" bestFit="1" customWidth="1"/>
    <col min="8" max="8" width="9.28515625" style="1095" bestFit="1" customWidth="1"/>
    <col min="9" max="9" width="10.140625" style="1095" bestFit="1" customWidth="1"/>
    <col min="10" max="11" width="9.28515625" style="1095" bestFit="1" customWidth="1"/>
    <col min="12" max="12" width="14.5703125" style="1095" customWidth="1"/>
    <col min="13" max="16384" width="9.140625" style="1095"/>
  </cols>
  <sheetData>
    <row r="1" spans="2:14">
      <c r="B1" s="1094" t="s">
        <v>2230</v>
      </c>
      <c r="G1" s="1106"/>
    </row>
    <row r="3" spans="2:14">
      <c r="B3" s="1094" t="s">
        <v>2221</v>
      </c>
    </row>
    <row r="4" spans="2:14">
      <c r="L4" s="1094" t="s">
        <v>1173</v>
      </c>
    </row>
    <row r="5" spans="2:14">
      <c r="B5" s="1129" t="s">
        <v>48</v>
      </c>
      <c r="C5" s="1129" t="s">
        <v>2231</v>
      </c>
      <c r="D5" s="1129" t="s">
        <v>2232</v>
      </c>
      <c r="E5" s="1129" t="s">
        <v>2233</v>
      </c>
      <c r="F5" s="1129" t="s">
        <v>2234</v>
      </c>
      <c r="G5" s="1129" t="s">
        <v>2235</v>
      </c>
      <c r="H5" s="1129" t="s">
        <v>2236</v>
      </c>
      <c r="I5" s="1129" t="s">
        <v>2237</v>
      </c>
      <c r="J5" s="1129" t="s">
        <v>2238</v>
      </c>
      <c r="K5" s="1129" t="s">
        <v>2239</v>
      </c>
      <c r="L5" s="1129" t="s">
        <v>1211</v>
      </c>
    </row>
    <row r="6" spans="2:14">
      <c r="B6" s="1130" t="s">
        <v>1236</v>
      </c>
      <c r="C6" s="1130">
        <v>1424</v>
      </c>
      <c r="D6" s="1130">
        <v>1331</v>
      </c>
      <c r="E6" s="1130">
        <v>1546</v>
      </c>
      <c r="F6" s="1130">
        <v>1571</v>
      </c>
      <c r="G6" s="1130">
        <v>1919</v>
      </c>
      <c r="H6" s="1130">
        <v>2264</v>
      </c>
      <c r="I6" s="1130">
        <v>2335</v>
      </c>
      <c r="J6" s="1151">
        <f>'F14-3'!C27</f>
        <v>2334</v>
      </c>
      <c r="K6" s="1130"/>
      <c r="L6" s="1130"/>
    </row>
    <row r="7" spans="2:14">
      <c r="B7" s="1130" t="s">
        <v>2222</v>
      </c>
      <c r="C7" s="1131">
        <v>8125.72</v>
      </c>
      <c r="D7" s="1131">
        <v>8488.66</v>
      </c>
      <c r="E7" s="1131">
        <v>8940.67</v>
      </c>
      <c r="F7" s="1131">
        <v>10405.459999999999</v>
      </c>
      <c r="G7" s="1131">
        <v>12843.77</v>
      </c>
      <c r="H7" s="1132">
        <v>14694</v>
      </c>
      <c r="I7" s="1131">
        <v>16644</v>
      </c>
      <c r="J7" s="1133">
        <f>'F14-1'!E23</f>
        <v>15083.97</v>
      </c>
      <c r="K7" s="1130"/>
      <c r="L7" s="1130"/>
    </row>
    <row r="8" spans="2:14">
      <c r="B8" s="1130" t="s">
        <v>2223</v>
      </c>
      <c r="C8" s="1130">
        <v>95</v>
      </c>
      <c r="D8" s="1130">
        <v>97</v>
      </c>
      <c r="E8" s="1130">
        <v>99</v>
      </c>
      <c r="F8" s="1130">
        <v>115</v>
      </c>
      <c r="G8" s="1130">
        <v>130</v>
      </c>
      <c r="H8" s="1132">
        <v>142</v>
      </c>
      <c r="I8" s="1130">
        <v>144</v>
      </c>
      <c r="J8" s="1151">
        <f>'F14-1'!E25</f>
        <v>146</v>
      </c>
      <c r="K8" s="1130"/>
      <c r="L8" s="1130"/>
    </row>
    <row r="9" spans="2:14">
      <c r="B9" s="1130" t="s">
        <v>2224</v>
      </c>
      <c r="C9" s="1099">
        <f>(C6*55%)/C7</f>
        <v>9.6385304932978255E-2</v>
      </c>
      <c r="D9" s="1099">
        <f t="shared" ref="D9:G9" si="0">(D6*55%)/D7</f>
        <v>8.6238581825635624E-2</v>
      </c>
      <c r="E9" s="1099">
        <f t="shared" si="0"/>
        <v>9.5104729287626102E-2</v>
      </c>
      <c r="F9" s="1657">
        <f t="shared" si="0"/>
        <v>8.3038135747963107E-2</v>
      </c>
      <c r="G9" s="1658">
        <f t="shared" si="0"/>
        <v>8.21760277550906E-2</v>
      </c>
      <c r="H9" s="1657">
        <f t="shared" ref="H9:J9" si="1">(H6*55%)/H7</f>
        <v>8.4742071593847834E-2</v>
      </c>
      <c r="I9" s="1099">
        <f t="shared" si="1"/>
        <v>7.7159937515020427E-2</v>
      </c>
      <c r="J9" s="1099">
        <f t="shared" si="1"/>
        <v>8.5103590102605625E-2</v>
      </c>
      <c r="K9" s="1134">
        <f>(J9/C9)^(1/7)-1</f>
        <v>-1.7626310966253667E-2</v>
      </c>
      <c r="L9" s="1135">
        <f>IF(K9&lt;0,J9,J9*(1+K9))</f>
        <v>8.5103590102605625E-2</v>
      </c>
      <c r="N9" s="1139"/>
    </row>
    <row r="10" spans="2:14">
      <c r="B10" s="1130" t="s">
        <v>2225</v>
      </c>
      <c r="C10" s="1099">
        <f>(C6*45%)/C8</f>
        <v>6.7452631578947377</v>
      </c>
      <c r="D10" s="1099">
        <f t="shared" ref="D10:G10" si="2">(D6*45%)/D8</f>
        <v>6.1747422680412374</v>
      </c>
      <c r="E10" s="1099">
        <f t="shared" si="2"/>
        <v>7.0272727272727273</v>
      </c>
      <c r="F10" s="1657">
        <f t="shared" si="2"/>
        <v>6.1473913043478268</v>
      </c>
      <c r="G10" s="1658">
        <f t="shared" si="2"/>
        <v>6.6426923076923083</v>
      </c>
      <c r="H10" s="1657">
        <f t="shared" ref="H10:J10" si="3">(H6*45%)/H8</f>
        <v>7.1746478873239443</v>
      </c>
      <c r="I10" s="1099">
        <f t="shared" si="3"/>
        <v>7.296875</v>
      </c>
      <c r="J10" s="1099">
        <f t="shared" si="3"/>
        <v>7.1938356164383555</v>
      </c>
      <c r="K10" s="1134">
        <f>(J10/C10)^(1/7)-1</f>
        <v>9.2401419119121364E-3</v>
      </c>
      <c r="L10" s="1135">
        <f>IF(K10&lt;0,J10,J10*(1+K10))</f>
        <v>7.2603076784252139</v>
      </c>
      <c r="N10" s="1139"/>
    </row>
    <row r="11" spans="2:14">
      <c r="B11" s="1130" t="s">
        <v>2226</v>
      </c>
      <c r="C11" s="1130">
        <v>77.569999999999993</v>
      </c>
      <c r="D11" s="1130">
        <v>93.35</v>
      </c>
      <c r="E11" s="1130">
        <v>98.99</v>
      </c>
      <c r="F11" s="1132">
        <v>101.9</v>
      </c>
      <c r="G11" s="1132">
        <v>137.18</v>
      </c>
      <c r="H11" s="1132">
        <v>162.84</v>
      </c>
      <c r="I11" s="1130">
        <f>168.34</f>
        <v>168.34</v>
      </c>
      <c r="J11" s="1099">
        <f>'F14-1'!E19</f>
        <v>189.23676178400001</v>
      </c>
      <c r="K11" s="1130"/>
      <c r="L11" s="1130"/>
    </row>
    <row r="12" spans="2:14">
      <c r="B12" s="1130" t="s">
        <v>2227</v>
      </c>
      <c r="C12" s="1130">
        <v>1.87</v>
      </c>
      <c r="D12" s="1130">
        <v>2.25</v>
      </c>
      <c r="E12" s="1130">
        <v>2.39</v>
      </c>
      <c r="F12" s="1132">
        <v>2.46</v>
      </c>
      <c r="G12" s="1132">
        <v>3.39</v>
      </c>
      <c r="H12" s="1132">
        <v>4.0599999999999996</v>
      </c>
      <c r="I12" s="1130">
        <v>5.0999999999999996</v>
      </c>
      <c r="J12" s="1099">
        <f>'F14-1'!E36</f>
        <v>6.2097939000000002</v>
      </c>
      <c r="K12" s="1130"/>
      <c r="L12" s="1130"/>
    </row>
    <row r="13" spans="2:14">
      <c r="B13" s="1130" t="s">
        <v>2228</v>
      </c>
      <c r="C13" s="1099">
        <f>C11-C12</f>
        <v>75.699999999999989</v>
      </c>
      <c r="D13" s="1099">
        <f t="shared" ref="D13:J13" si="4">D11-D12</f>
        <v>91.1</v>
      </c>
      <c r="E13" s="1099">
        <f t="shared" si="4"/>
        <v>96.6</v>
      </c>
      <c r="F13" s="1657">
        <f t="shared" si="4"/>
        <v>99.440000000000012</v>
      </c>
      <c r="G13" s="1657">
        <f t="shared" si="4"/>
        <v>133.79000000000002</v>
      </c>
      <c r="H13" s="1657">
        <f t="shared" si="4"/>
        <v>158.78</v>
      </c>
      <c r="I13" s="1099">
        <f t="shared" si="4"/>
        <v>163.24</v>
      </c>
      <c r="J13" s="1099">
        <f t="shared" si="4"/>
        <v>183.02696788400002</v>
      </c>
      <c r="K13" s="1130"/>
      <c r="L13" s="1130"/>
    </row>
    <row r="14" spans="2:14" ht="33">
      <c r="B14" s="1098" t="s">
        <v>2240</v>
      </c>
      <c r="C14" s="1099">
        <f>C13/C6</f>
        <v>5.3160112359550551E-2</v>
      </c>
      <c r="D14" s="1099">
        <f t="shared" ref="D14:J14" si="5">D13/D6</f>
        <v>6.8444778362133724E-2</v>
      </c>
      <c r="E14" s="1099">
        <f t="shared" si="5"/>
        <v>6.2483829236739973E-2</v>
      </c>
      <c r="F14" s="1657">
        <f t="shared" si="5"/>
        <v>6.3297262889879066E-2</v>
      </c>
      <c r="G14" s="1659">
        <f>G13/G6</f>
        <v>6.9718603439291302E-2</v>
      </c>
      <c r="H14" s="1660">
        <f t="shared" si="5"/>
        <v>7.0132508833922261E-2</v>
      </c>
      <c r="I14" s="1099">
        <f t="shared" si="5"/>
        <v>6.9910064239828693E-2</v>
      </c>
      <c r="J14" s="1099">
        <f t="shared" si="5"/>
        <v>7.8417724029134536E-2</v>
      </c>
      <c r="K14" s="1134">
        <f>(J14/C14)^(1/7)-1</f>
        <v>5.7105505633543663E-2</v>
      </c>
      <c r="L14" s="1135">
        <f>IF(K14&lt;0,J14,J14*(1+K14))</f>
        <v>8.2895807810449945E-2</v>
      </c>
    </row>
    <row r="15" spans="2:14" ht="33">
      <c r="B15" s="1098" t="s">
        <v>2229</v>
      </c>
      <c r="C15" s="1135">
        <f>C14*100</f>
        <v>5.3160112359550551</v>
      </c>
      <c r="D15" s="1135">
        <f t="shared" ref="D15:L15" si="6">D14*100</f>
        <v>6.8444778362133727</v>
      </c>
      <c r="E15" s="1135">
        <f t="shared" si="6"/>
        <v>6.2483829236739972</v>
      </c>
      <c r="F15" s="1658">
        <f t="shared" si="6"/>
        <v>6.3297262889879065</v>
      </c>
      <c r="G15" s="1658">
        <f t="shared" si="6"/>
        <v>6.97186034392913</v>
      </c>
      <c r="H15" s="1658">
        <f t="shared" si="6"/>
        <v>7.0132508833922262</v>
      </c>
      <c r="I15" s="1135">
        <f t="shared" si="6"/>
        <v>6.9910064239828689</v>
      </c>
      <c r="J15" s="1135">
        <f t="shared" si="6"/>
        <v>7.8417724029134535</v>
      </c>
      <c r="K15" s="1134"/>
      <c r="L15" s="1135">
        <f t="shared" si="6"/>
        <v>8.2895807810449949</v>
      </c>
      <c r="N15" s="1139"/>
    </row>
    <row r="16" spans="2:14">
      <c r="F16" s="1651"/>
      <c r="G16" s="1651"/>
      <c r="H16" s="1651"/>
    </row>
    <row r="18" spans="2:12">
      <c r="B18" s="1094" t="s">
        <v>2241</v>
      </c>
    </row>
    <row r="19" spans="2:12">
      <c r="L19" s="1094" t="s">
        <v>1173</v>
      </c>
    </row>
    <row r="20" spans="2:12">
      <c r="B20" s="1129" t="s">
        <v>48</v>
      </c>
      <c r="C20" s="1129" t="s">
        <v>2231</v>
      </c>
      <c r="D20" s="1129" t="s">
        <v>2232</v>
      </c>
      <c r="E20" s="1129" t="s">
        <v>2233</v>
      </c>
      <c r="F20" s="1129" t="s">
        <v>2234</v>
      </c>
      <c r="G20" s="1129" t="s">
        <v>2235</v>
      </c>
      <c r="H20" s="1129" t="s">
        <v>2236</v>
      </c>
      <c r="I20" s="1129" t="s">
        <v>2237</v>
      </c>
      <c r="J20" s="1129" t="s">
        <v>2238</v>
      </c>
      <c r="K20" s="1129" t="s">
        <v>2239</v>
      </c>
      <c r="L20" s="1129" t="s">
        <v>1211</v>
      </c>
    </row>
    <row r="21" spans="2:12">
      <c r="B21" s="1130" t="s">
        <v>1236</v>
      </c>
      <c r="C21" s="1130">
        <v>1424</v>
      </c>
      <c r="D21" s="1130">
        <v>1331</v>
      </c>
      <c r="E21" s="1130">
        <v>1546</v>
      </c>
      <c r="F21" s="1130">
        <v>1571</v>
      </c>
      <c r="G21" s="1130">
        <v>1919</v>
      </c>
      <c r="H21" s="1130">
        <v>2264</v>
      </c>
      <c r="I21" s="1130">
        <v>2335</v>
      </c>
      <c r="J21" s="1151">
        <f>'F14-3'!C27</f>
        <v>2334</v>
      </c>
      <c r="K21" s="1130"/>
      <c r="L21" s="1130"/>
    </row>
    <row r="22" spans="2:12">
      <c r="B22" s="1130" t="s">
        <v>2223</v>
      </c>
      <c r="C22" s="1130">
        <v>95</v>
      </c>
      <c r="D22" s="1130">
        <v>97</v>
      </c>
      <c r="E22" s="1130">
        <v>99</v>
      </c>
      <c r="F22" s="1130">
        <v>115</v>
      </c>
      <c r="G22" s="1130">
        <v>130</v>
      </c>
      <c r="H22" s="1132">
        <v>142</v>
      </c>
      <c r="I22" s="1130">
        <v>144</v>
      </c>
      <c r="J22" s="1151">
        <f>'F14-1'!E25</f>
        <v>146</v>
      </c>
      <c r="K22" s="1130"/>
      <c r="L22" s="1130"/>
    </row>
    <row r="23" spans="2:12">
      <c r="B23" s="1132" t="s">
        <v>2242</v>
      </c>
      <c r="C23" s="1130">
        <v>6.19</v>
      </c>
      <c r="D23" s="1130">
        <v>8.4700000000000006</v>
      </c>
      <c r="E23" s="1130">
        <v>16.14</v>
      </c>
      <c r="F23" s="1130">
        <v>18.25</v>
      </c>
      <c r="G23" s="1130">
        <v>26.6</v>
      </c>
      <c r="H23" s="1130">
        <f>37.63-1.67-3.47</f>
        <v>32.49</v>
      </c>
      <c r="I23" s="1130">
        <f>I25+I24</f>
        <v>45.839999999999996</v>
      </c>
      <c r="J23" s="1099">
        <f>'F16'!D33-'F16'!D21</f>
        <v>59.233396529999993</v>
      </c>
      <c r="K23" s="1130"/>
      <c r="L23" s="1130"/>
    </row>
    <row r="24" spans="2:12">
      <c r="B24" s="1132" t="s">
        <v>2243</v>
      </c>
      <c r="C24" s="1130">
        <v>0.13</v>
      </c>
      <c r="D24" s="1130">
        <v>0.17</v>
      </c>
      <c r="E24" s="1130">
        <v>0.33</v>
      </c>
      <c r="F24" s="1130">
        <v>0.38</v>
      </c>
      <c r="G24" s="1130">
        <v>0.51</v>
      </c>
      <c r="H24" s="1130">
        <v>0.57999999999999996</v>
      </c>
      <c r="I24" s="1130">
        <v>0.33</v>
      </c>
      <c r="J24" s="1099">
        <f>'F16'!D34</f>
        <v>0.26237092699999998</v>
      </c>
      <c r="K24" s="1130"/>
      <c r="L24" s="1130"/>
    </row>
    <row r="25" spans="2:12">
      <c r="B25" s="1132" t="s">
        <v>1220</v>
      </c>
      <c r="C25" s="1130">
        <f>C23-C24</f>
        <v>6.0600000000000005</v>
      </c>
      <c r="D25" s="1130">
        <f t="shared" ref="D25:J25" si="7">D23-D24</f>
        <v>8.3000000000000007</v>
      </c>
      <c r="E25" s="1130">
        <f t="shared" si="7"/>
        <v>15.81</v>
      </c>
      <c r="F25" s="1130">
        <f t="shared" si="7"/>
        <v>17.87</v>
      </c>
      <c r="G25" s="1130">
        <f t="shared" si="7"/>
        <v>26.09</v>
      </c>
      <c r="H25" s="1130">
        <f t="shared" si="7"/>
        <v>31.910000000000004</v>
      </c>
      <c r="I25" s="1130">
        <v>45.51</v>
      </c>
      <c r="J25" s="1657">
        <f t="shared" si="7"/>
        <v>58.971025602999994</v>
      </c>
      <c r="K25" s="1130"/>
      <c r="L25" s="1130"/>
    </row>
    <row r="26" spans="2:12">
      <c r="B26" s="1132" t="s">
        <v>2244</v>
      </c>
      <c r="C26" s="1099">
        <f>(C25*55%)/C21</f>
        <v>2.34058988764045E-3</v>
      </c>
      <c r="D26" s="1099">
        <f t="shared" ref="D26:G26" si="8">(D25*55%)/D21</f>
        <v>3.4297520661157026E-3</v>
      </c>
      <c r="E26" s="1099">
        <f t="shared" si="8"/>
        <v>5.6245148771021996E-3</v>
      </c>
      <c r="F26" s="1099">
        <f t="shared" si="8"/>
        <v>6.2562062380649283E-3</v>
      </c>
      <c r="G26" s="1099">
        <f t="shared" si="8"/>
        <v>7.4775924960917145E-3</v>
      </c>
      <c r="H26" s="1099">
        <f t="shared" ref="H26" si="9">(H25*55%)/H21</f>
        <v>7.7519876325088354E-3</v>
      </c>
      <c r="I26" s="1099">
        <f t="shared" ref="I26" si="10">(I25*55%)/I21</f>
        <v>1.0719700214132762E-2</v>
      </c>
      <c r="J26" s="1099">
        <f t="shared" ref="J26" si="11">(J25*55%)/J21</f>
        <v>1.3896342794194516E-2</v>
      </c>
      <c r="K26" s="1134">
        <f t="shared" ref="K26:K27" si="12">(J26/C26)^(1/7)-1</f>
        <v>0.28976545919314201</v>
      </c>
      <c r="L26" s="1135">
        <f>IF(K26&lt;0,J26,J26*(1+K26))</f>
        <v>1.79230229450596E-2</v>
      </c>
    </row>
    <row r="27" spans="2:12">
      <c r="B27" s="1132" t="s">
        <v>2245</v>
      </c>
      <c r="C27" s="1099">
        <f>(C25*45%)/C22</f>
        <v>2.8705263157894741E-2</v>
      </c>
      <c r="D27" s="1099">
        <f t="shared" ref="D27:G27" si="13">(D25*45%)/D22</f>
        <v>3.8505154639175261E-2</v>
      </c>
      <c r="E27" s="1099">
        <f t="shared" si="13"/>
        <v>7.1863636363636366E-2</v>
      </c>
      <c r="F27" s="1099">
        <f t="shared" si="13"/>
        <v>6.9926086956521749E-2</v>
      </c>
      <c r="G27" s="1099">
        <f t="shared" si="13"/>
        <v>9.0311538461538471E-2</v>
      </c>
      <c r="H27" s="1099">
        <f t="shared" ref="H27:J27" si="14">(H25*45%)/H22</f>
        <v>0.10112323943661973</v>
      </c>
      <c r="I27" s="1099">
        <f t="shared" si="14"/>
        <v>0.14221874999999998</v>
      </c>
      <c r="J27" s="1099">
        <f t="shared" si="14"/>
        <v>0.18176001042020545</v>
      </c>
      <c r="K27" s="1134">
        <f t="shared" si="12"/>
        <v>0.30168307506916925</v>
      </c>
      <c r="L27" s="1135">
        <f>IF(K27&lt;0,J27,J27*(1+K27))</f>
        <v>0.23659392928837727</v>
      </c>
    </row>
    <row r="28" spans="2:12">
      <c r="B28" s="1132" t="s">
        <v>2246</v>
      </c>
      <c r="C28" s="1099">
        <f>C26*100</f>
        <v>0.23405898876404499</v>
      </c>
      <c r="D28" s="1099">
        <f t="shared" ref="D28:J28" si="15">D26*100</f>
        <v>0.34297520661157027</v>
      </c>
      <c r="E28" s="1099">
        <f t="shared" si="15"/>
        <v>0.56245148771021991</v>
      </c>
      <c r="F28" s="1099">
        <f t="shared" si="15"/>
        <v>0.62562062380649286</v>
      </c>
      <c r="G28" s="1099">
        <f t="shared" si="15"/>
        <v>0.74775924960917139</v>
      </c>
      <c r="H28" s="1099">
        <f t="shared" si="15"/>
        <v>0.77519876325088355</v>
      </c>
      <c r="I28" s="1099">
        <f t="shared" si="15"/>
        <v>1.0719700214132761</v>
      </c>
      <c r="J28" s="1099">
        <f t="shared" si="15"/>
        <v>1.3896342794194516</v>
      </c>
      <c r="K28" s="1134"/>
      <c r="L28" s="1135">
        <f t="shared" ref="L28" si="16">L26*100</f>
        <v>1.7923022945059601</v>
      </c>
    </row>
    <row r="29" spans="2:12">
      <c r="B29" s="1132" t="s">
        <v>2247</v>
      </c>
      <c r="C29" s="1099">
        <f>C27*100</f>
        <v>2.870526315789474</v>
      </c>
      <c r="D29" s="1099">
        <f t="shared" ref="D29:J29" si="17">D27*100</f>
        <v>3.8505154639175263</v>
      </c>
      <c r="E29" s="1099">
        <f t="shared" si="17"/>
        <v>7.1863636363636365</v>
      </c>
      <c r="F29" s="1099">
        <f t="shared" si="17"/>
        <v>6.9926086956521747</v>
      </c>
      <c r="G29" s="1099">
        <f t="shared" si="17"/>
        <v>9.0311538461538472</v>
      </c>
      <c r="H29" s="1099">
        <f t="shared" si="17"/>
        <v>10.112323943661973</v>
      </c>
      <c r="I29" s="1099">
        <f t="shared" si="17"/>
        <v>14.221874999999997</v>
      </c>
      <c r="J29" s="1099">
        <f t="shared" si="17"/>
        <v>18.176001042020545</v>
      </c>
      <c r="K29" s="1134"/>
      <c r="L29" s="1135">
        <f t="shared" ref="L29" si="18">L27*100</f>
        <v>23.659392928837729</v>
      </c>
    </row>
    <row r="30" spans="2:12">
      <c r="G30" s="1136"/>
      <c r="H30" s="1137"/>
    </row>
    <row r="32" spans="2:12">
      <c r="B32" s="1094" t="s">
        <v>2249</v>
      </c>
    </row>
    <row r="34" spans="1:11">
      <c r="A34" s="1129" t="s">
        <v>1142</v>
      </c>
      <c r="B34" s="1129" t="s">
        <v>48</v>
      </c>
      <c r="C34" s="1129" t="s">
        <v>2236</v>
      </c>
      <c r="D34" s="1129" t="s">
        <v>2237</v>
      </c>
      <c r="E34" s="1129" t="s">
        <v>2238</v>
      </c>
    </row>
    <row r="35" spans="1:11">
      <c r="A35" s="1097">
        <v>1</v>
      </c>
      <c r="B35" s="1130" t="s">
        <v>2250</v>
      </c>
      <c r="C35" s="1099">
        <v>6418</v>
      </c>
      <c r="D35" s="1099">
        <v>7617.4</v>
      </c>
      <c r="E35" s="1099">
        <f>'F7-2'!D32</f>
        <v>9486.39</v>
      </c>
    </row>
    <row r="36" spans="1:11">
      <c r="A36" s="1097">
        <v>2</v>
      </c>
      <c r="B36" s="1130" t="s">
        <v>2251</v>
      </c>
      <c r="C36" s="1099">
        <v>1405.3</v>
      </c>
      <c r="D36" s="1099">
        <v>1415.01</v>
      </c>
      <c r="E36" s="1099">
        <f>'F7-2'!D33</f>
        <v>1469.7647407290001</v>
      </c>
    </row>
    <row r="37" spans="1:11">
      <c r="A37" s="1097">
        <v>3</v>
      </c>
      <c r="B37" s="1130" t="s">
        <v>2254</v>
      </c>
      <c r="C37" s="1099">
        <f>C35-C36</f>
        <v>5012.7</v>
      </c>
      <c r="D37" s="1099">
        <f t="shared" ref="D37:E37" si="19">D35-D36</f>
        <v>6202.3899999999994</v>
      </c>
      <c r="E37" s="1099">
        <f t="shared" si="19"/>
        <v>8016.6252592709989</v>
      </c>
    </row>
    <row r="38" spans="1:11">
      <c r="A38" s="1097">
        <v>4</v>
      </c>
      <c r="B38" s="1130" t="s">
        <v>25</v>
      </c>
      <c r="C38" s="1099">
        <v>36.35</v>
      </c>
      <c r="D38" s="1099">
        <v>32.6</v>
      </c>
      <c r="E38" s="1099">
        <f>'F15'!D33</f>
        <v>49.511429530000008</v>
      </c>
    </row>
    <row r="39" spans="1:11">
      <c r="A39" s="1097">
        <v>5</v>
      </c>
      <c r="B39" s="1130" t="s">
        <v>2252</v>
      </c>
      <c r="C39" s="1134">
        <f>C38/C37</f>
        <v>7.2515809842998791E-3</v>
      </c>
      <c r="D39" s="1134">
        <f t="shared" ref="D39:E39" si="20">D38/D37</f>
        <v>5.2560383981013776E-3</v>
      </c>
      <c r="E39" s="1134">
        <f t="shared" si="20"/>
        <v>6.1760937961695848E-3</v>
      </c>
    </row>
    <row r="40" spans="1:11">
      <c r="A40" s="1097">
        <v>6</v>
      </c>
      <c r="B40" s="1130" t="s">
        <v>2253</v>
      </c>
      <c r="C40" s="1130"/>
      <c r="D40" s="1138"/>
      <c r="E40" s="1661">
        <f>AVERAGE(C39:E39)</f>
        <v>6.2279043928569477E-3</v>
      </c>
    </row>
    <row r="41" spans="1:11">
      <c r="I41" s="2181" t="s">
        <v>401</v>
      </c>
      <c r="J41" s="2181"/>
      <c r="K41" s="2181"/>
    </row>
  </sheetData>
  <mergeCells count="1">
    <mergeCell ref="I41:K41"/>
  </mergeCells>
  <phoneticPr fontId="205" type="noConversion"/>
  <pageMargins left="0.7" right="0.7" top="0.75" bottom="0.75" header="0.3" footer="0.3"/>
  <pageSetup scale="5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92D050"/>
  </sheetPr>
  <dimension ref="A1:N44"/>
  <sheetViews>
    <sheetView showGridLines="0" view="pageBreakPreview" zoomScale="70" zoomScaleNormal="70" zoomScaleSheetLayoutView="70" workbookViewId="0">
      <pane xSplit="2" ySplit="5" topLeftCell="J19" activePane="bottomRight" state="frozen"/>
      <selection pane="topRight" activeCell="C1" sqref="C1"/>
      <selection pane="bottomLeft" activeCell="A6" sqref="A6"/>
      <selection pane="bottomRight" activeCell="J37" sqref="J37"/>
    </sheetView>
  </sheetViews>
  <sheetFormatPr defaultColWidth="9.140625" defaultRowHeight="15.75"/>
  <cols>
    <col min="1" max="1" width="5.42578125" style="74" customWidth="1"/>
    <col min="2" max="2" width="60.7109375" style="74" customWidth="1"/>
    <col min="3" max="3" width="11.7109375" style="722" customWidth="1"/>
    <col min="4" max="4" width="16.42578125" style="74" customWidth="1"/>
    <col min="5" max="5" width="18.42578125" style="74" customWidth="1"/>
    <col min="6" max="6" width="16.42578125" style="74" customWidth="1"/>
    <col min="7" max="8" width="19.28515625" style="74" hidden="1" customWidth="1"/>
    <col min="9" max="9" width="18.42578125" style="74" customWidth="1"/>
    <col min="10" max="10" width="18.42578125" style="809" customWidth="1"/>
    <col min="11" max="11" width="16.42578125" style="74" customWidth="1"/>
    <col min="12" max="12" width="18.42578125" style="74" customWidth="1"/>
    <col min="13" max="16384" width="9.140625" style="74"/>
  </cols>
  <sheetData>
    <row r="1" spans="1:12" ht="21" customHeight="1">
      <c r="A1" s="362" t="s">
        <v>1158</v>
      </c>
      <c r="B1" s="382"/>
      <c r="C1" s="723"/>
      <c r="D1" s="382"/>
      <c r="E1" s="382"/>
      <c r="F1" s="382"/>
      <c r="G1" s="382"/>
    </row>
    <row r="2" spans="1:12" ht="21" customHeight="1">
      <c r="A2" s="489" t="s">
        <v>907</v>
      </c>
      <c r="B2" s="489"/>
      <c r="C2" s="490"/>
      <c r="D2" s="490"/>
      <c r="E2" s="490"/>
      <c r="F2" s="490"/>
      <c r="G2" s="355"/>
      <c r="H2" s="355"/>
      <c r="I2" s="355"/>
      <c r="J2" s="355"/>
      <c r="K2" s="1987" t="s">
        <v>910</v>
      </c>
      <c r="L2" s="1987"/>
    </row>
    <row r="3" spans="1:12" ht="21" customHeight="1">
      <c r="A3" s="491"/>
      <c r="B3" s="492"/>
      <c r="C3" s="492"/>
      <c r="D3" s="492"/>
      <c r="E3" s="492"/>
      <c r="F3" s="492"/>
      <c r="G3" s="460" t="s">
        <v>320</v>
      </c>
    </row>
    <row r="4" spans="1:12" s="147" customFormat="1" ht="31.5">
      <c r="A4" s="394" t="s">
        <v>623</v>
      </c>
      <c r="B4" s="394" t="s">
        <v>48</v>
      </c>
      <c r="C4" s="720" t="s">
        <v>1211</v>
      </c>
      <c r="D4" s="1820" t="s">
        <v>1846</v>
      </c>
      <c r="E4" s="1820"/>
      <c r="F4" s="2207" t="s">
        <v>1847</v>
      </c>
      <c r="G4" s="2207"/>
      <c r="H4" s="2207"/>
      <c r="I4" s="2207"/>
      <c r="J4" s="1829" t="s">
        <v>1851</v>
      </c>
      <c r="K4" s="1830"/>
      <c r="L4" s="1831"/>
    </row>
    <row r="5" spans="1:12" ht="31.5">
      <c r="A5" s="409"/>
      <c r="B5" s="409"/>
      <c r="C5" s="282"/>
      <c r="D5" s="361" t="s">
        <v>1160</v>
      </c>
      <c r="E5" s="282" t="s">
        <v>230</v>
      </c>
      <c r="F5" s="361" t="s">
        <v>1160</v>
      </c>
      <c r="G5" s="361" t="s">
        <v>1163</v>
      </c>
      <c r="H5" s="361" t="s">
        <v>1164</v>
      </c>
      <c r="I5" s="720" t="s">
        <v>1849</v>
      </c>
      <c r="J5" s="805" t="s">
        <v>1841</v>
      </c>
      <c r="K5" s="361" t="s">
        <v>1842</v>
      </c>
      <c r="L5" s="361" t="s">
        <v>1843</v>
      </c>
    </row>
    <row r="6" spans="1:12">
      <c r="A6" s="408">
        <v>1</v>
      </c>
      <c r="B6" s="391" t="s">
        <v>1204</v>
      </c>
      <c r="C6" s="415"/>
      <c r="D6" s="409"/>
      <c r="E6" s="415"/>
      <c r="F6" s="415"/>
      <c r="G6" s="498"/>
      <c r="H6" s="498"/>
      <c r="I6" s="498"/>
      <c r="J6" s="498"/>
      <c r="K6" s="130"/>
      <c r="L6" s="130"/>
    </row>
    <row r="7" spans="1:12">
      <c r="A7" s="408" t="s">
        <v>634</v>
      </c>
      <c r="B7" s="409" t="s">
        <v>635</v>
      </c>
      <c r="C7" s="499"/>
      <c r="D7" s="409"/>
      <c r="E7" s="447">
        <f>'[128]Sch P&amp;L 22-25'!$B$7/10^7</f>
        <v>137.06649848400002</v>
      </c>
      <c r="F7" s="447"/>
      <c r="G7" s="447"/>
      <c r="H7" s="447"/>
      <c r="I7" s="447"/>
      <c r="J7" s="447"/>
      <c r="K7" s="130"/>
      <c r="L7" s="500"/>
    </row>
    <row r="8" spans="1:12">
      <c r="A8" s="408" t="s">
        <v>636</v>
      </c>
      <c r="B8" s="409" t="s">
        <v>637</v>
      </c>
      <c r="C8" s="499"/>
      <c r="D8" s="409"/>
      <c r="E8" s="499"/>
      <c r="F8" s="447"/>
      <c r="G8" s="447"/>
      <c r="H8" s="447"/>
      <c r="I8" s="447"/>
      <c r="J8" s="447"/>
      <c r="K8" s="130"/>
      <c r="L8" s="130"/>
    </row>
    <row r="9" spans="1:12">
      <c r="A9" s="408"/>
      <c r="B9" s="409" t="s">
        <v>1205</v>
      </c>
      <c r="C9" s="447"/>
      <c r="D9" s="409"/>
      <c r="E9" s="447">
        <f>E7+E8</f>
        <v>137.06649848400002</v>
      </c>
      <c r="F9" s="447"/>
      <c r="G9" s="447"/>
      <c r="H9" s="447"/>
      <c r="I9" s="447"/>
      <c r="J9" s="447"/>
      <c r="K9" s="130"/>
      <c r="L9" s="130"/>
    </row>
    <row r="10" spans="1:12">
      <c r="A10" s="408">
        <v>2</v>
      </c>
      <c r="B10" s="409" t="s">
        <v>1199</v>
      </c>
      <c r="C10" s="447"/>
      <c r="D10" s="409"/>
      <c r="E10" s="730">
        <f>'[128]Sch P&amp;L 22-25'!$B$8/10^7</f>
        <v>6.7964646999999996</v>
      </c>
      <c r="F10" s="447"/>
      <c r="G10" s="447"/>
      <c r="H10" s="447"/>
      <c r="I10" s="447"/>
      <c r="J10" s="447"/>
      <c r="K10" s="130"/>
      <c r="L10" s="130"/>
    </row>
    <row r="11" spans="1:12">
      <c r="A11" s="408">
        <v>3</v>
      </c>
      <c r="B11" s="409" t="s">
        <v>1200</v>
      </c>
      <c r="C11" s="447"/>
      <c r="D11" s="409"/>
      <c r="E11" s="730">
        <f>'[128]Sch P&amp;L 22-25'!B9/10^7</f>
        <v>23.0614703</v>
      </c>
      <c r="F11" s="447"/>
      <c r="G11" s="447"/>
      <c r="H11" s="447"/>
      <c r="I11" s="447"/>
      <c r="J11" s="447"/>
      <c r="K11" s="130"/>
      <c r="L11" s="130"/>
    </row>
    <row r="12" spans="1:12">
      <c r="A12" s="408">
        <v>4</v>
      </c>
      <c r="B12" s="409" t="s">
        <v>1201</v>
      </c>
      <c r="C12" s="447"/>
      <c r="D12" s="409"/>
      <c r="E12" s="730">
        <f>'[128]Sch P&amp;L 22-25'!B10/10^7</f>
        <v>21.374117900000002</v>
      </c>
      <c r="F12" s="447"/>
      <c r="G12" s="447"/>
      <c r="H12" s="447"/>
      <c r="I12" s="447"/>
      <c r="J12" s="447"/>
      <c r="K12" s="130"/>
      <c r="L12" s="130"/>
    </row>
    <row r="13" spans="1:12">
      <c r="A13" s="408">
        <v>5</v>
      </c>
      <c r="B13" s="409" t="s">
        <v>1202</v>
      </c>
      <c r="C13" s="447"/>
      <c r="D13" s="409"/>
      <c r="E13" s="730">
        <f>'[128]Sch P&amp;L 22-25'!B11/10^7</f>
        <v>0.55331390000000003</v>
      </c>
      <c r="F13" s="447"/>
      <c r="G13" s="447"/>
      <c r="H13" s="447"/>
      <c r="I13" s="447"/>
      <c r="J13" s="447"/>
      <c r="K13" s="130"/>
      <c r="L13" s="130"/>
    </row>
    <row r="14" spans="1:12">
      <c r="A14" s="408">
        <v>6</v>
      </c>
      <c r="B14" s="409" t="s">
        <v>1203</v>
      </c>
      <c r="C14" s="447"/>
      <c r="D14" s="409"/>
      <c r="E14" s="730">
        <f>'[128]Sch P&amp;L 22-25'!B12/10^7</f>
        <v>0.38489649999999997</v>
      </c>
      <c r="F14" s="447"/>
      <c r="G14" s="447"/>
      <c r="H14" s="447"/>
      <c r="I14" s="447"/>
      <c r="J14" s="447"/>
      <c r="K14" s="130"/>
      <c r="L14" s="130"/>
    </row>
    <row r="15" spans="1:12">
      <c r="A15" s="408"/>
      <c r="B15" s="409"/>
      <c r="C15" s="499"/>
      <c r="D15" s="409"/>
      <c r="E15" s="499"/>
      <c r="F15" s="447"/>
      <c r="G15" s="447"/>
      <c r="H15" s="447"/>
      <c r="I15" s="447"/>
      <c r="J15" s="447"/>
      <c r="K15" s="130"/>
      <c r="L15" s="130"/>
    </row>
    <row r="16" spans="1:12">
      <c r="A16" s="408"/>
      <c r="B16" s="409" t="s">
        <v>1195</v>
      </c>
      <c r="C16" s="501"/>
      <c r="D16" s="446"/>
      <c r="E16" s="501"/>
      <c r="F16" s="446"/>
      <c r="G16" s="446"/>
      <c r="H16" s="446"/>
      <c r="I16" s="446"/>
      <c r="J16" s="446"/>
      <c r="K16" s="130"/>
      <c r="L16" s="130"/>
    </row>
    <row r="17" spans="1:14">
      <c r="A17" s="408"/>
      <c r="B17" s="409" t="s">
        <v>1196</v>
      </c>
      <c r="C17" s="501"/>
      <c r="D17" s="503"/>
      <c r="E17" s="501"/>
      <c r="F17" s="446"/>
      <c r="G17" s="446"/>
      <c r="H17" s="446"/>
      <c r="I17" s="446"/>
      <c r="J17" s="446"/>
      <c r="K17" s="130"/>
      <c r="L17" s="130"/>
    </row>
    <row r="18" spans="1:14">
      <c r="A18" s="408"/>
      <c r="B18" s="409" t="s">
        <v>1197</v>
      </c>
      <c r="C18" s="501"/>
      <c r="D18" s="446"/>
      <c r="E18" s="501"/>
      <c r="F18" s="446"/>
      <c r="G18" s="446"/>
      <c r="H18" s="446"/>
      <c r="I18" s="446"/>
      <c r="J18" s="446"/>
      <c r="K18" s="130"/>
      <c r="L18" s="130"/>
    </row>
    <row r="19" spans="1:14">
      <c r="A19" s="408"/>
      <c r="B19" s="391" t="s">
        <v>1198</v>
      </c>
      <c r="C19" s="504"/>
      <c r="D19" s="449"/>
      <c r="E19" s="504">
        <f>SUM(E9:E14)</f>
        <v>189.23676178400001</v>
      </c>
      <c r="F19" s="449"/>
      <c r="G19" s="449"/>
      <c r="H19" s="449"/>
      <c r="I19" s="449"/>
      <c r="J19" s="449"/>
      <c r="K19" s="393"/>
      <c r="L19" s="393"/>
    </row>
    <row r="20" spans="1:14">
      <c r="A20" s="408"/>
      <c r="B20" s="391"/>
      <c r="C20" s="504"/>
      <c r="D20" s="449"/>
      <c r="E20" s="504"/>
      <c r="F20" s="449"/>
      <c r="G20" s="449"/>
      <c r="H20" s="648"/>
      <c r="I20" s="648"/>
      <c r="J20" s="648"/>
      <c r="K20" s="649"/>
      <c r="L20" s="649"/>
    </row>
    <row r="21" spans="1:14">
      <c r="A21" s="408"/>
      <c r="B21" s="1061" t="s">
        <v>1206</v>
      </c>
      <c r="C21" s="1062"/>
      <c r="D21" s="1063">
        <v>4.2200000000000001E-2</v>
      </c>
      <c r="E21" s="1063">
        <f>AVERAGE('F14-2'!C7:E7)</f>
        <v>5.3534202167843249E-2</v>
      </c>
      <c r="F21" s="503">
        <v>5.3499999999999999E-2</v>
      </c>
      <c r="G21" s="449"/>
      <c r="H21" s="648"/>
      <c r="I21" s="650">
        <f>'F14-2'!G7</f>
        <v>6.0003385697491828E-2</v>
      </c>
      <c r="J21" s="650">
        <f>'F14-2'!H7</f>
        <v>6.0003385697491828E-2</v>
      </c>
      <c r="K21" s="650">
        <f>J21</f>
        <v>6.0003385697491828E-2</v>
      </c>
      <c r="L21" s="643">
        <f>K21</f>
        <v>6.0003385697491828E-2</v>
      </c>
    </row>
    <row r="22" spans="1:14">
      <c r="A22" s="408"/>
      <c r="B22" s="1061" t="s">
        <v>1207</v>
      </c>
      <c r="C22" s="1066">
        <v>8.2199999999999995E-2</v>
      </c>
      <c r="D22" s="1662">
        <f>C22</f>
        <v>8.2199999999999995E-2</v>
      </c>
      <c r="E22" s="1662">
        <f>C22</f>
        <v>8.2199999999999995E-2</v>
      </c>
      <c r="F22" s="1662">
        <v>8.2199999999999995E-2</v>
      </c>
      <c r="G22" s="1117"/>
      <c r="H22" s="1117"/>
      <c r="I22" s="1662">
        <f>E22</f>
        <v>8.2199999999999995E-2</v>
      </c>
      <c r="J22" s="1662">
        <f>'O&amp;M norms'!$L$9</f>
        <v>8.5103590102605625E-2</v>
      </c>
      <c r="K22" s="1662">
        <f>'O&amp;M norms'!$L$9</f>
        <v>8.5103590102605625E-2</v>
      </c>
      <c r="L22" s="1662">
        <f>'O&amp;M norms'!$L$9</f>
        <v>8.5103590102605625E-2</v>
      </c>
    </row>
    <row r="23" spans="1:14">
      <c r="A23" s="408"/>
      <c r="B23" s="1061" t="s">
        <v>1208</v>
      </c>
      <c r="C23" s="1116"/>
      <c r="D23" s="1284">
        <v>16696</v>
      </c>
      <c r="E23" s="1284">
        <f>11323.89+3760.08</f>
        <v>15083.97</v>
      </c>
      <c r="F23" s="1284">
        <v>16856.66</v>
      </c>
      <c r="G23" s="648"/>
      <c r="H23" s="648"/>
      <c r="I23" s="1284">
        <f>E23+985.94</f>
        <v>16069.91</v>
      </c>
      <c r="J23" s="1284">
        <f>I23+1215.15</f>
        <v>17285.060000000001</v>
      </c>
      <c r="K23" s="1284">
        <f>J23+1193.13</f>
        <v>18478.190000000002</v>
      </c>
      <c r="L23" s="1284">
        <f>K23+1371.53</f>
        <v>19849.72</v>
      </c>
      <c r="M23" s="527"/>
      <c r="N23" s="1119"/>
    </row>
    <row r="24" spans="1:14">
      <c r="A24" s="408"/>
      <c r="B24" s="1061" t="s">
        <v>1209</v>
      </c>
      <c r="C24" s="1066">
        <v>6.6426999999999996</v>
      </c>
      <c r="D24" s="1662">
        <f>C24</f>
        <v>6.6426999999999996</v>
      </c>
      <c r="E24" s="1662">
        <f>C24</f>
        <v>6.6426999999999996</v>
      </c>
      <c r="F24" s="1662">
        <v>6.6426999999999996</v>
      </c>
      <c r="G24" s="1117"/>
      <c r="H24" s="1117"/>
      <c r="I24" s="1662">
        <f>E24</f>
        <v>6.6426999999999996</v>
      </c>
      <c r="J24" s="1662">
        <f>'O&amp;M norms'!$L$10</f>
        <v>7.2603076784252139</v>
      </c>
      <c r="K24" s="1662">
        <f>'O&amp;M norms'!$L$10</f>
        <v>7.2603076784252139</v>
      </c>
      <c r="L24" s="1662">
        <f>'O&amp;M norms'!$L$10</f>
        <v>7.2603076784252139</v>
      </c>
    </row>
    <row r="25" spans="1:14">
      <c r="A25" s="408"/>
      <c r="B25" s="1061" t="s">
        <v>1210</v>
      </c>
      <c r="C25" s="1065"/>
      <c r="D25" s="1663">
        <v>152</v>
      </c>
      <c r="E25" s="1664">
        <v>146</v>
      </c>
      <c r="F25" s="1663">
        <v>146</v>
      </c>
      <c r="G25" s="731"/>
      <c r="H25" s="731"/>
      <c r="I25" s="1663">
        <f>E25+2</f>
        <v>148</v>
      </c>
      <c r="J25" s="1663">
        <f>I25+4</f>
        <v>152</v>
      </c>
      <c r="K25" s="1663">
        <f>J25+5</f>
        <v>157</v>
      </c>
      <c r="L25" s="1663">
        <f>K25+8</f>
        <v>165</v>
      </c>
    </row>
    <row r="26" spans="1:14">
      <c r="A26" s="408"/>
      <c r="B26" s="1061" t="s">
        <v>1212</v>
      </c>
      <c r="C26" s="1066">
        <v>7.7755999999999998</v>
      </c>
      <c r="D26" s="1662">
        <f>C26*(1+D21)+0.0003</f>
        <v>8.1040303199999997</v>
      </c>
      <c r="E26" s="1662">
        <f>C26*(1+E21)</f>
        <v>8.1918605423762827</v>
      </c>
      <c r="F26" s="1662">
        <v>8.6300000000000008</v>
      </c>
      <c r="G26" s="1117"/>
      <c r="H26" s="1117"/>
      <c r="I26" s="1662">
        <f>E26*(1+I21)</f>
        <v>8.683399910080551</v>
      </c>
      <c r="J26" s="1662">
        <f>'O&amp;M norms'!L15*(1+J21)</f>
        <v>8.7869836939205523</v>
      </c>
      <c r="K26" s="1662">
        <f>J26*(1+K21)</f>
        <v>9.3142324656244373</v>
      </c>
      <c r="L26" s="1662">
        <f>K26*(1+L21)</f>
        <v>9.8731179487354002</v>
      </c>
    </row>
    <row r="27" spans="1:14">
      <c r="A27" s="408"/>
      <c r="B27" s="1061"/>
      <c r="C27" s="1064"/>
      <c r="D27" s="648"/>
      <c r="E27" s="1665"/>
      <c r="F27" s="648"/>
      <c r="G27" s="648"/>
      <c r="H27" s="648"/>
      <c r="I27" s="648"/>
      <c r="J27" s="648"/>
      <c r="K27" s="649"/>
      <c r="L27" s="649"/>
    </row>
    <row r="28" spans="1:14">
      <c r="A28" s="408"/>
      <c r="B28" s="1061" t="s">
        <v>1213</v>
      </c>
      <c r="C28" s="1064"/>
      <c r="D28" s="651">
        <f>((D22*D23*D26)/100)</f>
        <v>111.22061976307583</v>
      </c>
      <c r="E28" s="651">
        <f>((E22*E23*E26)/100)</f>
        <v>101.57107006294858</v>
      </c>
      <c r="F28" s="651">
        <f>((F22*F23*F26)/100)</f>
        <v>119.57878610760001</v>
      </c>
      <c r="G28" s="648"/>
      <c r="H28" s="648"/>
      <c r="I28" s="651">
        <f>(I22*I23*I26)/100</f>
        <v>114.70307605028009</v>
      </c>
      <c r="J28" s="651">
        <f t="shared" ref="J28:L28" si="0">(J22*J23*J26)/100</f>
        <v>129.25834562848135</v>
      </c>
      <c r="K28" s="651">
        <f t="shared" si="0"/>
        <v>146.4719227118226</v>
      </c>
      <c r="L28" s="651">
        <f t="shared" si="0"/>
        <v>166.78484724856315</v>
      </c>
    </row>
    <row r="29" spans="1:14">
      <c r="A29" s="408"/>
      <c r="B29" s="1061" t="s">
        <v>1214</v>
      </c>
      <c r="C29" s="1064"/>
      <c r="D29" s="651">
        <f>((D24*D25*D26)/100)</f>
        <v>81.825616154129278</v>
      </c>
      <c r="E29" s="651">
        <f>((E24*E25*E26)/100)</f>
        <v>79.447465156270667</v>
      </c>
      <c r="F29" s="651">
        <f>((F24*F25*F26)/100)</f>
        <v>83.696691459999997</v>
      </c>
      <c r="G29" s="648"/>
      <c r="H29" s="648"/>
      <c r="I29" s="651">
        <f>((I24*I25*I26)/100)</f>
        <v>85.368206462384279</v>
      </c>
      <c r="J29" s="651">
        <f t="shared" ref="J29:L29" si="1">((J24*J25*J26)/100)</f>
        <v>96.970231878416158</v>
      </c>
      <c r="K29" s="651">
        <f t="shared" si="1"/>
        <v>106.16998377743249</v>
      </c>
      <c r="L29" s="651">
        <f t="shared" si="1"/>
        <v>118.27509218778236</v>
      </c>
    </row>
    <row r="30" spans="1:14">
      <c r="A30" s="408"/>
      <c r="B30" s="837" t="s">
        <v>1198</v>
      </c>
      <c r="C30" s="1064"/>
      <c r="D30" s="648">
        <f>D28+D29</f>
        <v>193.04623591720511</v>
      </c>
      <c r="E30" s="648">
        <f>E28+E29-0.01</f>
        <v>181.00853521921925</v>
      </c>
      <c r="F30" s="648">
        <f>F28+F29-0.01</f>
        <v>203.26547756760002</v>
      </c>
      <c r="G30" s="648"/>
      <c r="H30" s="648"/>
      <c r="I30" s="648">
        <f>I28+I29</f>
        <v>200.07128251266437</v>
      </c>
      <c r="J30" s="648">
        <f t="shared" ref="J30:L30" si="2">J28+J29</f>
        <v>226.22857750689752</v>
      </c>
      <c r="K30" s="648">
        <f t="shared" si="2"/>
        <v>252.64190648925509</v>
      </c>
      <c r="L30" s="648">
        <f t="shared" si="2"/>
        <v>285.05993943634553</v>
      </c>
      <c r="M30" s="955"/>
    </row>
    <row r="31" spans="1:14">
      <c r="A31" s="408"/>
      <c r="B31" s="409"/>
      <c r="C31" s="501"/>
      <c r="D31" s="446"/>
      <c r="E31" s="501"/>
      <c r="F31" s="446"/>
      <c r="G31" s="446"/>
      <c r="H31" s="446"/>
      <c r="I31" s="446"/>
      <c r="J31" s="446"/>
      <c r="K31" s="130"/>
      <c r="L31" s="130"/>
    </row>
    <row r="32" spans="1:14">
      <c r="A32" s="502">
        <v>7</v>
      </c>
      <c r="B32" s="391" t="s">
        <v>638</v>
      </c>
      <c r="C32" s="447"/>
      <c r="D32" s="409"/>
      <c r="E32" s="447"/>
      <c r="F32" s="447"/>
      <c r="G32" s="447"/>
      <c r="H32" s="447"/>
      <c r="I32" s="447"/>
      <c r="J32" s="447"/>
      <c r="K32" s="130"/>
      <c r="L32" s="130"/>
    </row>
    <row r="33" spans="1:12">
      <c r="A33" s="502"/>
      <c r="B33" s="409" t="s">
        <v>639</v>
      </c>
      <c r="C33" s="447"/>
      <c r="D33" s="505">
        <f>D19+D32</f>
        <v>0</v>
      </c>
      <c r="E33" s="730">
        <f>'[128]Sch P&amp;L 22-25'!$B$13/10^7</f>
        <v>40.789473399999999</v>
      </c>
      <c r="F33" s="447"/>
      <c r="G33" s="498"/>
      <c r="H33" s="498"/>
      <c r="I33" s="498"/>
      <c r="J33" s="498"/>
      <c r="K33" s="130"/>
      <c r="L33" s="130"/>
    </row>
    <row r="34" spans="1:12">
      <c r="A34" s="502"/>
      <c r="B34" s="409" t="s">
        <v>640</v>
      </c>
      <c r="C34" s="447"/>
      <c r="D34" s="446">
        <v>0</v>
      </c>
      <c r="E34" s="447">
        <v>0</v>
      </c>
      <c r="F34" s="447"/>
      <c r="G34" s="498"/>
      <c r="H34" s="498"/>
      <c r="I34" s="498"/>
      <c r="J34" s="498"/>
      <c r="K34" s="130"/>
      <c r="L34" s="130"/>
    </row>
    <row r="35" spans="1:12">
      <c r="A35" s="502"/>
      <c r="B35" s="409" t="s">
        <v>641</v>
      </c>
      <c r="C35" s="446"/>
      <c r="D35" s="505">
        <f>D33-D34</f>
        <v>0</v>
      </c>
      <c r="E35" s="446">
        <f>E33-E34</f>
        <v>40.789473399999999</v>
      </c>
      <c r="F35" s="447"/>
      <c r="G35" s="498"/>
      <c r="H35" s="498"/>
      <c r="I35" s="498"/>
      <c r="J35" s="498"/>
      <c r="K35" s="130"/>
      <c r="L35" s="130"/>
    </row>
    <row r="36" spans="1:12" s="578" customFormat="1">
      <c r="A36" s="579"/>
      <c r="B36" s="409" t="s">
        <v>1268</v>
      </c>
      <c r="C36" s="446"/>
      <c r="D36" s="505"/>
      <c r="E36" s="954">
        <f>'Allocation Statement'!C73/10^7</f>
        <v>6.2097939000000002</v>
      </c>
      <c r="F36" s="447"/>
      <c r="G36" s="498"/>
      <c r="H36" s="498"/>
      <c r="I36" s="498"/>
      <c r="J36" s="498"/>
      <c r="K36" s="130"/>
      <c r="L36" s="130"/>
    </row>
    <row r="37" spans="1:12">
      <c r="A37" s="502"/>
      <c r="B37" s="391" t="s">
        <v>271</v>
      </c>
      <c r="C37" s="449"/>
      <c r="D37" s="449">
        <f>D30</f>
        <v>193.04623591720511</v>
      </c>
      <c r="E37" s="449">
        <f>E30</f>
        <v>181.00853521921925</v>
      </c>
      <c r="F37" s="449">
        <f>F30+0.02</f>
        <v>203.28547756760003</v>
      </c>
      <c r="G37" s="391"/>
      <c r="H37" s="391"/>
      <c r="I37" s="449">
        <f>I30</f>
        <v>200.07128251266437</v>
      </c>
      <c r="J37" s="449">
        <f>J30</f>
        <v>226.22857750689752</v>
      </c>
      <c r="K37" s="449">
        <f>K30</f>
        <v>252.64190648925509</v>
      </c>
      <c r="L37" s="449">
        <f>L30</f>
        <v>285.05993943634553</v>
      </c>
    </row>
    <row r="38" spans="1:12">
      <c r="A38" s="392" t="s">
        <v>553</v>
      </c>
      <c r="B38" s="389"/>
      <c r="E38" s="527">
        <f>E19+E35-E36</f>
        <v>223.81644128400001</v>
      </c>
    </row>
    <row r="39" spans="1:12" ht="30" customHeight="1">
      <c r="A39" s="497" t="s">
        <v>642</v>
      </c>
      <c r="B39" s="2206" t="s">
        <v>643</v>
      </c>
      <c r="C39" s="2206"/>
      <c r="D39" s="2206"/>
      <c r="E39" s="2206"/>
      <c r="F39" s="2206"/>
      <c r="G39" s="2206"/>
    </row>
    <row r="40" spans="1:12">
      <c r="A40" s="497" t="s">
        <v>636</v>
      </c>
      <c r="B40" s="2206" t="s">
        <v>644</v>
      </c>
      <c r="C40" s="2206"/>
      <c r="D40" s="2206"/>
      <c r="E40" s="2206"/>
      <c r="F40" s="2206"/>
      <c r="G40" s="2206"/>
    </row>
    <row r="41" spans="1:12">
      <c r="A41" s="497" t="s">
        <v>645</v>
      </c>
      <c r="B41" s="420" t="s">
        <v>646</v>
      </c>
    </row>
    <row r="44" spans="1:12">
      <c r="I44" s="2181" t="s">
        <v>401</v>
      </c>
      <c r="J44" s="2181"/>
      <c r="K44" s="2181"/>
      <c r="L44" s="2182"/>
    </row>
  </sheetData>
  <mergeCells count="7">
    <mergeCell ref="K2:L2"/>
    <mergeCell ref="I44:L44"/>
    <mergeCell ref="B40:G40"/>
    <mergeCell ref="B39:G39"/>
    <mergeCell ref="D4:E4"/>
    <mergeCell ref="F4:I4"/>
    <mergeCell ref="J4:L4"/>
  </mergeCells>
  <printOptions horizontalCentered="1"/>
  <pageMargins left="0.70866141732283505" right="0.70866141732283505" top="0.74803149606299202" bottom="0.74803149606299202" header="0.31496062992126" footer="0.31496062992126"/>
  <pageSetup paperSize="9" scale="54"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92D050"/>
    <pageSetUpPr fitToPage="1"/>
  </sheetPr>
  <dimension ref="A1:I105"/>
  <sheetViews>
    <sheetView showGridLines="0" view="pageBreakPreview" zoomScale="85" zoomScaleNormal="85" zoomScaleSheetLayoutView="85" workbookViewId="0">
      <selection activeCell="E10" sqref="E10:G10"/>
    </sheetView>
  </sheetViews>
  <sheetFormatPr defaultColWidth="9.140625" defaultRowHeight="15"/>
  <cols>
    <col min="1" max="1" width="34.28515625" style="289" customWidth="1"/>
    <col min="2" max="2" width="16.42578125" style="796" customWidth="1"/>
    <col min="3" max="3" width="15.28515625" style="289" customWidth="1"/>
    <col min="4" max="4" width="15.140625" style="289" customWidth="1"/>
    <col min="5" max="6" width="16.140625" style="289" customWidth="1"/>
    <col min="7" max="7" width="14.5703125" style="289" customWidth="1"/>
    <col min="8" max="8" width="16" style="289" customWidth="1"/>
    <col min="9" max="16384" width="9.140625" style="289"/>
  </cols>
  <sheetData>
    <row r="1" spans="1:9" ht="21" customHeight="1">
      <c r="A1" s="1914" t="s">
        <v>1158</v>
      </c>
      <c r="B1" s="1914"/>
      <c r="C1" s="1914"/>
      <c r="D1" s="1914"/>
      <c r="E1" s="1914"/>
      <c r="F1" s="1914"/>
      <c r="G1" s="1914"/>
    </row>
    <row r="2" spans="1:9" ht="21" customHeight="1">
      <c r="A2" s="506" t="s">
        <v>1258</v>
      </c>
      <c r="B2" s="506"/>
      <c r="C2" s="179"/>
      <c r="D2" s="179"/>
      <c r="E2" s="179"/>
      <c r="F2" s="179"/>
      <c r="G2" s="373" t="s">
        <v>908</v>
      </c>
      <c r="H2" s="373"/>
    </row>
    <row r="3" spans="1:9" s="72" customFormat="1" ht="21" customHeight="1">
      <c r="A3" s="506"/>
      <c r="B3" s="506"/>
      <c r="C3" s="227"/>
      <c r="D3" s="227"/>
      <c r="E3" s="227"/>
      <c r="F3" s="227"/>
      <c r="G3" s="369"/>
      <c r="H3" s="369"/>
    </row>
    <row r="4" spans="1:9" s="72" customFormat="1">
      <c r="A4" s="1909" t="s">
        <v>48</v>
      </c>
      <c r="B4" s="794"/>
      <c r="C4" s="2210" t="s">
        <v>230</v>
      </c>
      <c r="D4" s="2210"/>
      <c r="E4" s="2210"/>
      <c r="F4" s="2210"/>
      <c r="G4" s="2210" t="s">
        <v>1216</v>
      </c>
      <c r="H4" s="2210"/>
    </row>
    <row r="5" spans="1:9" s="233" customFormat="1" ht="15" customHeight="1">
      <c r="A5" s="1909"/>
      <c r="B5" s="854" t="s">
        <v>1154</v>
      </c>
      <c r="C5" s="854" t="s">
        <v>1109</v>
      </c>
      <c r="D5" s="854" t="s">
        <v>1215</v>
      </c>
      <c r="E5" s="854" t="s">
        <v>1107</v>
      </c>
      <c r="F5" s="371" t="s">
        <v>1108</v>
      </c>
      <c r="G5" s="240" t="s">
        <v>1173</v>
      </c>
      <c r="H5" s="474" t="s">
        <v>1841</v>
      </c>
    </row>
    <row r="6" spans="1:9">
      <c r="A6" s="149" t="s">
        <v>416</v>
      </c>
      <c r="B6" s="507">
        <f>'CPI &amp; WPI'!W17</f>
        <v>275.91666666666669</v>
      </c>
      <c r="C6" s="507">
        <f>'CPI &amp; WPI'!X17</f>
        <v>284.41666666666669</v>
      </c>
      <c r="D6" s="507">
        <f>'CPI &amp; WPI'!Y17</f>
        <v>299.91666666666669</v>
      </c>
      <c r="E6" s="507">
        <f>'CPI &amp; WPI'!Z17</f>
        <v>322.5</v>
      </c>
      <c r="F6" s="507">
        <f>'CPI &amp; WPI'!AA17</f>
        <v>338.69399999999996</v>
      </c>
      <c r="G6" s="507">
        <f>'CPI &amp; WPI'!AB17</f>
        <v>351.11999999999995</v>
      </c>
      <c r="H6" s="150"/>
    </row>
    <row r="7" spans="1:9">
      <c r="A7" s="149" t="s">
        <v>350</v>
      </c>
      <c r="B7" s="149"/>
      <c r="C7" s="508">
        <f>C6/B6-1</f>
        <v>3.0806402899426155E-2</v>
      </c>
      <c r="D7" s="508">
        <f>D6/C6-1</f>
        <v>5.4497509522414278E-2</v>
      </c>
      <c r="E7" s="508">
        <f>E6/D6-1</f>
        <v>7.5298694081689321E-2</v>
      </c>
      <c r="F7" s="508">
        <f>F6/E6-1</f>
        <v>5.0213953488371876E-2</v>
      </c>
      <c r="G7" s="508">
        <f>AVERAGE(D7:F7)</f>
        <v>6.0003385697491828E-2</v>
      </c>
      <c r="H7" s="508">
        <f>G7</f>
        <v>6.0003385697491828E-2</v>
      </c>
    </row>
    <row r="8" spans="1:9">
      <c r="A8" s="149" t="s">
        <v>418</v>
      </c>
      <c r="B8" s="507">
        <f>'CPI &amp; WPI'!F17</f>
        <v>111.61666666666667</v>
      </c>
      <c r="C8" s="507">
        <f>'CPI &amp; WPI'!G17</f>
        <v>114.87499999999999</v>
      </c>
      <c r="D8" s="507">
        <f>'CPI &amp; WPI'!H17</f>
        <v>119.79166666666669</v>
      </c>
      <c r="E8" s="507">
        <f>'CPI &amp; WPI'!I17</f>
        <v>121.80000000000001</v>
      </c>
      <c r="F8" s="507">
        <f>'CPI &amp; WPI'!J17</f>
        <v>123.375</v>
      </c>
      <c r="G8" s="507">
        <f>'CPI &amp; WPI'!K17</f>
        <v>134.21666666666667</v>
      </c>
      <c r="H8" s="239"/>
    </row>
    <row r="9" spans="1:9">
      <c r="A9" s="149" t="s">
        <v>347</v>
      </c>
      <c r="B9" s="149"/>
      <c r="C9" s="508">
        <f>C8/B8-1</f>
        <v>2.9192175601015169E-2</v>
      </c>
      <c r="D9" s="508">
        <f>D8/C8-1</f>
        <v>4.2800145085237773E-2</v>
      </c>
      <c r="E9" s="508">
        <f>E8/D8-1</f>
        <v>1.676521739130421E-2</v>
      </c>
      <c r="F9" s="508">
        <f>F8/E8-1</f>
        <v>1.2931034482758452E-2</v>
      </c>
      <c r="G9" s="508">
        <f>AVERAGE(D9:F9)</f>
        <v>2.4165465653100144E-2</v>
      </c>
      <c r="H9" s="508">
        <f>G9</f>
        <v>2.4165465653100144E-2</v>
      </c>
    </row>
    <row r="10" spans="1:9" s="94" customFormat="1" ht="21" customHeight="1">
      <c r="A10" s="351"/>
      <c r="B10" s="351"/>
      <c r="C10" s="352"/>
      <c r="D10" s="352"/>
      <c r="E10" s="1666">
        <f>(AVERAGE(C7:E7)*0.4)+(AVERAGE(C9:E9)*0.6)</f>
        <v>3.916518848264873E-2</v>
      </c>
      <c r="F10" s="1666">
        <f>(((F6/C6)^(1/3)-1)*40%)+(((F8/C8)^(1/3)-1)*60%)</f>
        <v>3.8426797690456781E-2</v>
      </c>
      <c r="G10" s="1666">
        <f>+G9*60%+G7*40%</f>
        <v>3.8500633670856821E-2</v>
      </c>
      <c r="H10" s="1666">
        <f>+H9*60%+H7*40%</f>
        <v>3.8500633670856821E-2</v>
      </c>
    </row>
    <row r="11" spans="1:9" ht="21" customHeight="1">
      <c r="A11" s="168" t="s">
        <v>415</v>
      </c>
      <c r="B11" s="168"/>
    </row>
    <row r="12" spans="1:9" ht="33" customHeight="1">
      <c r="A12" s="2211" t="s">
        <v>647</v>
      </c>
      <c r="B12" s="2211"/>
      <c r="C12" s="2211"/>
      <c r="D12" s="2211"/>
      <c r="E12" s="2211"/>
      <c r="F12" s="2211"/>
      <c r="G12" s="2211"/>
    </row>
    <row r="13" spans="1:9" ht="21" customHeight="1"/>
    <row r="14" spans="1:9" ht="21" customHeight="1">
      <c r="F14" s="2181" t="s">
        <v>401</v>
      </c>
      <c r="G14" s="2181"/>
      <c r="H14" s="2182"/>
    </row>
    <row r="15" spans="1:9" ht="21" customHeight="1">
      <c r="G15" s="370"/>
    </row>
    <row r="16" spans="1:9" ht="21" customHeight="1">
      <c r="F16" s="55"/>
      <c r="G16" s="55"/>
      <c r="H16" s="55"/>
      <c r="I16" s="55"/>
    </row>
    <row r="17" spans="1:9" ht="21" hidden="1" customHeight="1"/>
    <row r="18" spans="1:9" ht="21" hidden="1" customHeight="1">
      <c r="A18" s="176" t="s">
        <v>187</v>
      </c>
      <c r="B18" s="176"/>
      <c r="C18" s="176"/>
      <c r="D18" s="176"/>
      <c r="E18" s="176"/>
      <c r="F18" s="176"/>
    </row>
    <row r="19" spans="1:9" ht="21" hidden="1" customHeight="1">
      <c r="A19" s="196">
        <v>1</v>
      </c>
      <c r="B19" s="795"/>
      <c r="C19" s="1932" t="s">
        <v>406</v>
      </c>
      <c r="D19" s="1991"/>
      <c r="E19" s="1991"/>
      <c r="F19" s="1991"/>
    </row>
    <row r="20" spans="1:9" ht="21" hidden="1" customHeight="1">
      <c r="A20" s="228">
        <v>2</v>
      </c>
      <c r="B20" s="797"/>
      <c r="C20" s="1937">
        <v>21.1</v>
      </c>
      <c r="D20" s="2209"/>
      <c r="E20" s="2209"/>
      <c r="F20" s="2209"/>
    </row>
    <row r="21" spans="1:9" ht="21" hidden="1" customHeight="1">
      <c r="A21" s="196">
        <v>3</v>
      </c>
      <c r="B21" s="795"/>
      <c r="C21" s="1932" t="s">
        <v>407</v>
      </c>
      <c r="D21" s="1933"/>
      <c r="E21" s="1933"/>
      <c r="F21" s="1933"/>
    </row>
    <row r="22" spans="1:9" ht="21" hidden="1" customHeight="1">
      <c r="A22" s="196">
        <v>4</v>
      </c>
      <c r="B22" s="795"/>
      <c r="C22" s="1992" t="s">
        <v>408</v>
      </c>
      <c r="D22" s="1993"/>
      <c r="E22" s="1993"/>
      <c r="F22" s="1993"/>
    </row>
    <row r="23" spans="1:9" ht="21" hidden="1" customHeight="1">
      <c r="A23" s="196">
        <v>5</v>
      </c>
      <c r="B23" s="795"/>
      <c r="C23" s="1932" t="s">
        <v>341</v>
      </c>
      <c r="D23" s="1933"/>
      <c r="E23" s="1933"/>
      <c r="F23" s="2208"/>
    </row>
    <row r="24" spans="1:9" ht="21" customHeight="1">
      <c r="F24"/>
      <c r="G24"/>
      <c r="H24"/>
      <c r="I24"/>
    </row>
    <row r="25" spans="1:9" ht="21" customHeight="1">
      <c r="F25"/>
      <c r="G25"/>
      <c r="H25"/>
      <c r="I25"/>
    </row>
    <row r="26" spans="1:9" ht="21" customHeight="1">
      <c r="F26"/>
      <c r="G26"/>
      <c r="H26"/>
      <c r="I26"/>
    </row>
    <row r="27" spans="1:9" ht="21" customHeight="1">
      <c r="F27"/>
      <c r="G27"/>
      <c r="H27"/>
      <c r="I27"/>
    </row>
    <row r="28" spans="1:9" ht="21" customHeight="1">
      <c r="F28"/>
      <c r="G28"/>
      <c r="H28"/>
      <c r="I28"/>
    </row>
    <row r="29" spans="1:9" ht="21" customHeight="1">
      <c r="F29"/>
      <c r="G29"/>
      <c r="H29"/>
      <c r="I29"/>
    </row>
    <row r="30" spans="1:9" ht="21" customHeight="1">
      <c r="F30"/>
      <c r="G30"/>
      <c r="H30"/>
      <c r="I30"/>
    </row>
    <row r="31" spans="1:9" ht="21" customHeight="1">
      <c r="F31"/>
      <c r="G31"/>
      <c r="H31"/>
      <c r="I31"/>
    </row>
    <row r="32" spans="1:9" ht="21" customHeight="1">
      <c r="F32"/>
      <c r="G32"/>
      <c r="H32"/>
      <c r="I32"/>
    </row>
    <row r="33" spans="6:9" ht="21" customHeight="1">
      <c r="F33"/>
      <c r="G33"/>
      <c r="H33"/>
      <c r="I33"/>
    </row>
    <row r="34" spans="6:9" ht="21" customHeight="1">
      <c r="F34"/>
      <c r="G34"/>
      <c r="H34"/>
      <c r="I34"/>
    </row>
    <row r="35" spans="6:9" ht="21" customHeight="1">
      <c r="F35"/>
      <c r="G35"/>
      <c r="H35"/>
      <c r="I35"/>
    </row>
    <row r="36" spans="6:9" ht="21" customHeight="1">
      <c r="F36"/>
      <c r="G36"/>
      <c r="H36"/>
      <c r="I36"/>
    </row>
    <row r="37" spans="6:9" ht="21" customHeight="1">
      <c r="F37"/>
      <c r="G37"/>
      <c r="H37"/>
      <c r="I37"/>
    </row>
    <row r="38" spans="6:9" ht="21" customHeight="1">
      <c r="F38"/>
      <c r="G38"/>
      <c r="H38"/>
      <c r="I38"/>
    </row>
    <row r="39" spans="6:9" ht="21" customHeight="1">
      <c r="F39"/>
      <c r="G39"/>
      <c r="H39"/>
      <c r="I39"/>
    </row>
    <row r="40" spans="6:9" ht="21" customHeight="1">
      <c r="F40"/>
      <c r="G40"/>
      <c r="H40"/>
      <c r="I40"/>
    </row>
    <row r="41" spans="6:9" ht="21" customHeight="1">
      <c r="F41"/>
      <c r="G41"/>
      <c r="H41"/>
      <c r="I41"/>
    </row>
    <row r="42" spans="6:9" ht="21" customHeight="1">
      <c r="F42"/>
      <c r="G42"/>
      <c r="H42"/>
      <c r="I42"/>
    </row>
    <row r="43" spans="6:9" ht="21" customHeight="1"/>
    <row r="44" spans="6:9" ht="21" customHeight="1"/>
    <row r="45" spans="6:9" ht="21" customHeight="1"/>
    <row r="46" spans="6:9" ht="21" customHeight="1"/>
    <row r="47" spans="6:9" ht="21" customHeight="1"/>
    <row r="48" spans="6:9"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sheetData>
  <mergeCells count="11">
    <mergeCell ref="A1:G1"/>
    <mergeCell ref="C23:F23"/>
    <mergeCell ref="C19:F19"/>
    <mergeCell ref="C20:F20"/>
    <mergeCell ref="C21:F21"/>
    <mergeCell ref="C22:F22"/>
    <mergeCell ref="F14:H14"/>
    <mergeCell ref="A4:A5"/>
    <mergeCell ref="G4:H4"/>
    <mergeCell ref="C4:F4"/>
    <mergeCell ref="A12:G12"/>
  </mergeCells>
  <pageMargins left="0.70866141732283472" right="0.70866141732283472" top="0.74803149606299213" bottom="0.74803149606299213" header="0.31496062992125984" footer="0.31496062992125984"/>
  <pageSetup paperSize="9" scale="6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4"/>
    <pageSetUpPr fitToPage="1"/>
  </sheetPr>
  <dimension ref="A1:I32"/>
  <sheetViews>
    <sheetView showGridLines="0" view="pageBreakPreview" zoomScale="80" zoomScaleNormal="100" zoomScaleSheetLayoutView="80" workbookViewId="0">
      <selection activeCell="K11" sqref="K11"/>
    </sheetView>
  </sheetViews>
  <sheetFormatPr defaultRowHeight="15"/>
  <cols>
    <col min="1" max="1" width="9.140625" style="156"/>
    <col min="2" max="2" width="43.42578125" style="156" customWidth="1"/>
    <col min="3" max="3" width="17.7109375" style="156" customWidth="1"/>
    <col min="4" max="7" width="15.7109375" style="156" customWidth="1"/>
    <col min="8" max="256" width="9.140625" style="156"/>
    <col min="257" max="257" width="43.42578125" style="156" customWidth="1"/>
    <col min="258" max="258" width="10.5703125" style="156" customWidth="1"/>
    <col min="259" max="259" width="10.140625" style="156" customWidth="1"/>
    <col min="260" max="260" width="8.7109375" style="156" customWidth="1"/>
    <col min="261" max="261" width="9.140625" style="156"/>
    <col min="262" max="262" width="8" style="156" customWidth="1"/>
    <col min="263" max="512" width="9.140625" style="156"/>
    <col min="513" max="513" width="43.42578125" style="156" customWidth="1"/>
    <col min="514" max="514" width="10.5703125" style="156" customWidth="1"/>
    <col min="515" max="515" width="10.140625" style="156" customWidth="1"/>
    <col min="516" max="516" width="8.7109375" style="156" customWidth="1"/>
    <col min="517" max="517" width="9.140625" style="156"/>
    <col min="518" max="518" width="8" style="156" customWidth="1"/>
    <col min="519" max="768" width="9.140625" style="156"/>
    <col min="769" max="769" width="43.42578125" style="156" customWidth="1"/>
    <col min="770" max="770" width="10.5703125" style="156" customWidth="1"/>
    <col min="771" max="771" width="10.140625" style="156" customWidth="1"/>
    <col min="772" max="772" width="8.7109375" style="156" customWidth="1"/>
    <col min="773" max="773" width="9.140625" style="156"/>
    <col min="774" max="774" width="8" style="156" customWidth="1"/>
    <col min="775" max="1024" width="9.140625" style="156"/>
    <col min="1025" max="1025" width="43.42578125" style="156" customWidth="1"/>
    <col min="1026" max="1026" width="10.5703125" style="156" customWidth="1"/>
    <col min="1027" max="1027" width="10.140625" style="156" customWidth="1"/>
    <col min="1028" max="1028" width="8.7109375" style="156" customWidth="1"/>
    <col min="1029" max="1029" width="9.140625" style="156"/>
    <col min="1030" max="1030" width="8" style="156" customWidth="1"/>
    <col min="1031" max="1280" width="9.140625" style="156"/>
    <col min="1281" max="1281" width="43.42578125" style="156" customWidth="1"/>
    <col min="1282" max="1282" width="10.5703125" style="156" customWidth="1"/>
    <col min="1283" max="1283" width="10.140625" style="156" customWidth="1"/>
    <col min="1284" max="1284" width="8.7109375" style="156" customWidth="1"/>
    <col min="1285" max="1285" width="9.140625" style="156"/>
    <col min="1286" max="1286" width="8" style="156" customWidth="1"/>
    <col min="1287" max="1536" width="9.140625" style="156"/>
    <col min="1537" max="1537" width="43.42578125" style="156" customWidth="1"/>
    <col min="1538" max="1538" width="10.5703125" style="156" customWidth="1"/>
    <col min="1539" max="1539" width="10.140625" style="156" customWidth="1"/>
    <col min="1540" max="1540" width="8.7109375" style="156" customWidth="1"/>
    <col min="1541" max="1541" width="9.140625" style="156"/>
    <col min="1542" max="1542" width="8" style="156" customWidth="1"/>
    <col min="1543" max="1792" width="9.140625" style="156"/>
    <col min="1793" max="1793" width="43.42578125" style="156" customWidth="1"/>
    <col min="1794" max="1794" width="10.5703125" style="156" customWidth="1"/>
    <col min="1795" max="1795" width="10.140625" style="156" customWidth="1"/>
    <col min="1796" max="1796" width="8.7109375" style="156" customWidth="1"/>
    <col min="1797" max="1797" width="9.140625" style="156"/>
    <col min="1798" max="1798" width="8" style="156" customWidth="1"/>
    <col min="1799" max="2048" width="9.140625" style="156"/>
    <col min="2049" max="2049" width="43.42578125" style="156" customWidth="1"/>
    <col min="2050" max="2050" width="10.5703125" style="156" customWidth="1"/>
    <col min="2051" max="2051" width="10.140625" style="156" customWidth="1"/>
    <col min="2052" max="2052" width="8.7109375" style="156" customWidth="1"/>
    <col min="2053" max="2053" width="9.140625" style="156"/>
    <col min="2054" max="2054" width="8" style="156" customWidth="1"/>
    <col min="2055" max="2304" width="9.140625" style="156"/>
    <col min="2305" max="2305" width="43.42578125" style="156" customWidth="1"/>
    <col min="2306" max="2306" width="10.5703125" style="156" customWidth="1"/>
    <col min="2307" max="2307" width="10.140625" style="156" customWidth="1"/>
    <col min="2308" max="2308" width="8.7109375" style="156" customWidth="1"/>
    <col min="2309" max="2309" width="9.140625" style="156"/>
    <col min="2310" max="2310" width="8" style="156" customWidth="1"/>
    <col min="2311" max="2560" width="9.140625" style="156"/>
    <col min="2561" max="2561" width="43.42578125" style="156" customWidth="1"/>
    <col min="2562" max="2562" width="10.5703125" style="156" customWidth="1"/>
    <col min="2563" max="2563" width="10.140625" style="156" customWidth="1"/>
    <col min="2564" max="2564" width="8.7109375" style="156" customWidth="1"/>
    <col min="2565" max="2565" width="9.140625" style="156"/>
    <col min="2566" max="2566" width="8" style="156" customWidth="1"/>
    <col min="2567" max="2816" width="9.140625" style="156"/>
    <col min="2817" max="2817" width="43.42578125" style="156" customWidth="1"/>
    <col min="2818" max="2818" width="10.5703125" style="156" customWidth="1"/>
    <col min="2819" max="2819" width="10.140625" style="156" customWidth="1"/>
    <col min="2820" max="2820" width="8.7109375" style="156" customWidth="1"/>
    <col min="2821" max="2821" width="9.140625" style="156"/>
    <col min="2822" max="2822" width="8" style="156" customWidth="1"/>
    <col min="2823" max="3072" width="9.140625" style="156"/>
    <col min="3073" max="3073" width="43.42578125" style="156" customWidth="1"/>
    <col min="3074" max="3074" width="10.5703125" style="156" customWidth="1"/>
    <col min="3075" max="3075" width="10.140625" style="156" customWidth="1"/>
    <col min="3076" max="3076" width="8.7109375" style="156" customWidth="1"/>
    <col min="3077" max="3077" width="9.140625" style="156"/>
    <col min="3078" max="3078" width="8" style="156" customWidth="1"/>
    <col min="3079" max="3328" width="9.140625" style="156"/>
    <col min="3329" max="3329" width="43.42578125" style="156" customWidth="1"/>
    <col min="3330" max="3330" width="10.5703125" style="156" customWidth="1"/>
    <col min="3331" max="3331" width="10.140625" style="156" customWidth="1"/>
    <col min="3332" max="3332" width="8.7109375" style="156" customWidth="1"/>
    <col min="3333" max="3333" width="9.140625" style="156"/>
    <col min="3334" max="3334" width="8" style="156" customWidth="1"/>
    <col min="3335" max="3584" width="9.140625" style="156"/>
    <col min="3585" max="3585" width="43.42578125" style="156" customWidth="1"/>
    <col min="3586" max="3586" width="10.5703125" style="156" customWidth="1"/>
    <col min="3587" max="3587" width="10.140625" style="156" customWidth="1"/>
    <col min="3588" max="3588" width="8.7109375" style="156" customWidth="1"/>
    <col min="3589" max="3589" width="9.140625" style="156"/>
    <col min="3590" max="3590" width="8" style="156" customWidth="1"/>
    <col min="3591" max="3840" width="9.140625" style="156"/>
    <col min="3841" max="3841" width="43.42578125" style="156" customWidth="1"/>
    <col min="3842" max="3842" width="10.5703125" style="156" customWidth="1"/>
    <col min="3843" max="3843" width="10.140625" style="156" customWidth="1"/>
    <col min="3844" max="3844" width="8.7109375" style="156" customWidth="1"/>
    <col min="3845" max="3845" width="9.140625" style="156"/>
    <col min="3846" max="3846" width="8" style="156" customWidth="1"/>
    <col min="3847" max="4096" width="9.140625" style="156"/>
    <col min="4097" max="4097" width="43.42578125" style="156" customWidth="1"/>
    <col min="4098" max="4098" width="10.5703125" style="156" customWidth="1"/>
    <col min="4099" max="4099" width="10.140625" style="156" customWidth="1"/>
    <col min="4100" max="4100" width="8.7109375" style="156" customWidth="1"/>
    <col min="4101" max="4101" width="9.140625" style="156"/>
    <col min="4102" max="4102" width="8" style="156" customWidth="1"/>
    <col min="4103" max="4352" width="9.140625" style="156"/>
    <col min="4353" max="4353" width="43.42578125" style="156" customWidth="1"/>
    <col min="4354" max="4354" width="10.5703125" style="156" customWidth="1"/>
    <col min="4355" max="4355" width="10.140625" style="156" customWidth="1"/>
    <col min="4356" max="4356" width="8.7109375" style="156" customWidth="1"/>
    <col min="4357" max="4357" width="9.140625" style="156"/>
    <col min="4358" max="4358" width="8" style="156" customWidth="1"/>
    <col min="4359" max="4608" width="9.140625" style="156"/>
    <col min="4609" max="4609" width="43.42578125" style="156" customWidth="1"/>
    <col min="4610" max="4610" width="10.5703125" style="156" customWidth="1"/>
    <col min="4611" max="4611" width="10.140625" style="156" customWidth="1"/>
    <col min="4612" max="4612" width="8.7109375" style="156" customWidth="1"/>
    <col min="4613" max="4613" width="9.140625" style="156"/>
    <col min="4614" max="4614" width="8" style="156" customWidth="1"/>
    <col min="4615" max="4864" width="9.140625" style="156"/>
    <col min="4865" max="4865" width="43.42578125" style="156" customWidth="1"/>
    <col min="4866" max="4866" width="10.5703125" style="156" customWidth="1"/>
    <col min="4867" max="4867" width="10.140625" style="156" customWidth="1"/>
    <col min="4868" max="4868" width="8.7109375" style="156" customWidth="1"/>
    <col min="4869" max="4869" width="9.140625" style="156"/>
    <col min="4870" max="4870" width="8" style="156" customWidth="1"/>
    <col min="4871" max="5120" width="9.140625" style="156"/>
    <col min="5121" max="5121" width="43.42578125" style="156" customWidth="1"/>
    <col min="5122" max="5122" width="10.5703125" style="156" customWidth="1"/>
    <col min="5123" max="5123" width="10.140625" style="156" customWidth="1"/>
    <col min="5124" max="5124" width="8.7109375" style="156" customWidth="1"/>
    <col min="5125" max="5125" width="9.140625" style="156"/>
    <col min="5126" max="5126" width="8" style="156" customWidth="1"/>
    <col min="5127" max="5376" width="9.140625" style="156"/>
    <col min="5377" max="5377" width="43.42578125" style="156" customWidth="1"/>
    <col min="5378" max="5378" width="10.5703125" style="156" customWidth="1"/>
    <col min="5379" max="5379" width="10.140625" style="156" customWidth="1"/>
    <col min="5380" max="5380" width="8.7109375" style="156" customWidth="1"/>
    <col min="5381" max="5381" width="9.140625" style="156"/>
    <col min="5382" max="5382" width="8" style="156" customWidth="1"/>
    <col min="5383" max="5632" width="9.140625" style="156"/>
    <col min="5633" max="5633" width="43.42578125" style="156" customWidth="1"/>
    <col min="5634" max="5634" width="10.5703125" style="156" customWidth="1"/>
    <col min="5635" max="5635" width="10.140625" style="156" customWidth="1"/>
    <col min="5636" max="5636" width="8.7109375" style="156" customWidth="1"/>
    <col min="5637" max="5637" width="9.140625" style="156"/>
    <col min="5638" max="5638" width="8" style="156" customWidth="1"/>
    <col min="5639" max="5888" width="9.140625" style="156"/>
    <col min="5889" max="5889" width="43.42578125" style="156" customWidth="1"/>
    <col min="5890" max="5890" width="10.5703125" style="156" customWidth="1"/>
    <col min="5891" max="5891" width="10.140625" style="156" customWidth="1"/>
    <col min="5892" max="5892" width="8.7109375" style="156" customWidth="1"/>
    <col min="5893" max="5893" width="9.140625" style="156"/>
    <col min="5894" max="5894" width="8" style="156" customWidth="1"/>
    <col min="5895" max="6144" width="9.140625" style="156"/>
    <col min="6145" max="6145" width="43.42578125" style="156" customWidth="1"/>
    <col min="6146" max="6146" width="10.5703125" style="156" customWidth="1"/>
    <col min="6147" max="6147" width="10.140625" style="156" customWidth="1"/>
    <col min="6148" max="6148" width="8.7109375" style="156" customWidth="1"/>
    <col min="6149" max="6149" width="9.140625" style="156"/>
    <col min="6150" max="6150" width="8" style="156" customWidth="1"/>
    <col min="6151" max="6400" width="9.140625" style="156"/>
    <col min="6401" max="6401" width="43.42578125" style="156" customWidth="1"/>
    <col min="6402" max="6402" width="10.5703125" style="156" customWidth="1"/>
    <col min="6403" max="6403" width="10.140625" style="156" customWidth="1"/>
    <col min="6404" max="6404" width="8.7109375" style="156" customWidth="1"/>
    <col min="6405" max="6405" width="9.140625" style="156"/>
    <col min="6406" max="6406" width="8" style="156" customWidth="1"/>
    <col min="6407" max="6656" width="9.140625" style="156"/>
    <col min="6657" max="6657" width="43.42578125" style="156" customWidth="1"/>
    <col min="6658" max="6658" width="10.5703125" style="156" customWidth="1"/>
    <col min="6659" max="6659" width="10.140625" style="156" customWidth="1"/>
    <col min="6660" max="6660" width="8.7109375" style="156" customWidth="1"/>
    <col min="6661" max="6661" width="9.140625" style="156"/>
    <col min="6662" max="6662" width="8" style="156" customWidth="1"/>
    <col min="6663" max="6912" width="9.140625" style="156"/>
    <col min="6913" max="6913" width="43.42578125" style="156" customWidth="1"/>
    <col min="6914" max="6914" width="10.5703125" style="156" customWidth="1"/>
    <col min="6915" max="6915" width="10.140625" style="156" customWidth="1"/>
    <col min="6916" max="6916" width="8.7109375" style="156" customWidth="1"/>
    <col min="6917" max="6917" width="9.140625" style="156"/>
    <col min="6918" max="6918" width="8" style="156" customWidth="1"/>
    <col min="6919" max="7168" width="9.140625" style="156"/>
    <col min="7169" max="7169" width="43.42578125" style="156" customWidth="1"/>
    <col min="7170" max="7170" width="10.5703125" style="156" customWidth="1"/>
    <col min="7171" max="7171" width="10.140625" style="156" customWidth="1"/>
    <col min="7172" max="7172" width="8.7109375" style="156" customWidth="1"/>
    <col min="7173" max="7173" width="9.140625" style="156"/>
    <col min="7174" max="7174" width="8" style="156" customWidth="1"/>
    <col min="7175" max="7424" width="9.140625" style="156"/>
    <col min="7425" max="7425" width="43.42578125" style="156" customWidth="1"/>
    <col min="7426" max="7426" width="10.5703125" style="156" customWidth="1"/>
    <col min="7427" max="7427" width="10.140625" style="156" customWidth="1"/>
    <col min="7428" max="7428" width="8.7109375" style="156" customWidth="1"/>
    <col min="7429" max="7429" width="9.140625" style="156"/>
    <col min="7430" max="7430" width="8" style="156" customWidth="1"/>
    <col min="7431" max="7680" width="9.140625" style="156"/>
    <col min="7681" max="7681" width="43.42578125" style="156" customWidth="1"/>
    <col min="7682" max="7682" width="10.5703125" style="156" customWidth="1"/>
    <col min="7683" max="7683" width="10.140625" style="156" customWidth="1"/>
    <col min="7684" max="7684" width="8.7109375" style="156" customWidth="1"/>
    <col min="7685" max="7685" width="9.140625" style="156"/>
    <col min="7686" max="7686" width="8" style="156" customWidth="1"/>
    <col min="7687" max="7936" width="9.140625" style="156"/>
    <col min="7937" max="7937" width="43.42578125" style="156" customWidth="1"/>
    <col min="7938" max="7938" width="10.5703125" style="156" customWidth="1"/>
    <col min="7939" max="7939" width="10.140625" style="156" customWidth="1"/>
    <col min="7940" max="7940" width="8.7109375" style="156" customWidth="1"/>
    <col min="7941" max="7941" width="9.140625" style="156"/>
    <col min="7942" max="7942" width="8" style="156" customWidth="1"/>
    <col min="7943" max="8192" width="9.140625" style="156"/>
    <col min="8193" max="8193" width="43.42578125" style="156" customWidth="1"/>
    <col min="8194" max="8194" width="10.5703125" style="156" customWidth="1"/>
    <col min="8195" max="8195" width="10.140625" style="156" customWidth="1"/>
    <col min="8196" max="8196" width="8.7109375" style="156" customWidth="1"/>
    <col min="8197" max="8197" width="9.140625" style="156"/>
    <col min="8198" max="8198" width="8" style="156" customWidth="1"/>
    <col min="8199" max="8448" width="9.140625" style="156"/>
    <col min="8449" max="8449" width="43.42578125" style="156" customWidth="1"/>
    <col min="8450" max="8450" width="10.5703125" style="156" customWidth="1"/>
    <col min="8451" max="8451" width="10.140625" style="156" customWidth="1"/>
    <col min="8452" max="8452" width="8.7109375" style="156" customWidth="1"/>
    <col min="8453" max="8453" width="9.140625" style="156"/>
    <col min="8454" max="8454" width="8" style="156" customWidth="1"/>
    <col min="8455" max="8704" width="9.140625" style="156"/>
    <col min="8705" max="8705" width="43.42578125" style="156" customWidth="1"/>
    <col min="8706" max="8706" width="10.5703125" style="156" customWidth="1"/>
    <col min="8707" max="8707" width="10.140625" style="156" customWidth="1"/>
    <col min="8708" max="8708" width="8.7109375" style="156" customWidth="1"/>
    <col min="8709" max="8709" width="9.140625" style="156"/>
    <col min="8710" max="8710" width="8" style="156" customWidth="1"/>
    <col min="8711" max="8960" width="9.140625" style="156"/>
    <col min="8961" max="8961" width="43.42578125" style="156" customWidth="1"/>
    <col min="8962" max="8962" width="10.5703125" style="156" customWidth="1"/>
    <col min="8963" max="8963" width="10.140625" style="156" customWidth="1"/>
    <col min="8964" max="8964" width="8.7109375" style="156" customWidth="1"/>
    <col min="8965" max="8965" width="9.140625" style="156"/>
    <col min="8966" max="8966" width="8" style="156" customWidth="1"/>
    <col min="8967" max="9216" width="9.140625" style="156"/>
    <col min="9217" max="9217" width="43.42578125" style="156" customWidth="1"/>
    <col min="9218" max="9218" width="10.5703125" style="156" customWidth="1"/>
    <col min="9219" max="9219" width="10.140625" style="156" customWidth="1"/>
    <col min="9220" max="9220" width="8.7109375" style="156" customWidth="1"/>
    <col min="9221" max="9221" width="9.140625" style="156"/>
    <col min="9222" max="9222" width="8" style="156" customWidth="1"/>
    <col min="9223" max="9472" width="9.140625" style="156"/>
    <col min="9473" max="9473" width="43.42578125" style="156" customWidth="1"/>
    <col min="9474" max="9474" width="10.5703125" style="156" customWidth="1"/>
    <col min="9475" max="9475" width="10.140625" style="156" customWidth="1"/>
    <col min="9476" max="9476" width="8.7109375" style="156" customWidth="1"/>
    <col min="9477" max="9477" width="9.140625" style="156"/>
    <col min="9478" max="9478" width="8" style="156" customWidth="1"/>
    <col min="9479" max="9728" width="9.140625" style="156"/>
    <col min="9729" max="9729" width="43.42578125" style="156" customWidth="1"/>
    <col min="9730" max="9730" width="10.5703125" style="156" customWidth="1"/>
    <col min="9731" max="9731" width="10.140625" style="156" customWidth="1"/>
    <col min="9732" max="9732" width="8.7109375" style="156" customWidth="1"/>
    <col min="9733" max="9733" width="9.140625" style="156"/>
    <col min="9734" max="9734" width="8" style="156" customWidth="1"/>
    <col min="9735" max="9984" width="9.140625" style="156"/>
    <col min="9985" max="9985" width="43.42578125" style="156" customWidth="1"/>
    <col min="9986" max="9986" width="10.5703125" style="156" customWidth="1"/>
    <col min="9987" max="9987" width="10.140625" style="156" customWidth="1"/>
    <col min="9988" max="9988" width="8.7109375" style="156" customWidth="1"/>
    <col min="9989" max="9989" width="9.140625" style="156"/>
    <col min="9990" max="9990" width="8" style="156" customWidth="1"/>
    <col min="9991" max="10240" width="9.140625" style="156"/>
    <col min="10241" max="10241" width="43.42578125" style="156" customWidth="1"/>
    <col min="10242" max="10242" width="10.5703125" style="156" customWidth="1"/>
    <col min="10243" max="10243" width="10.140625" style="156" customWidth="1"/>
    <col min="10244" max="10244" width="8.7109375" style="156" customWidth="1"/>
    <col min="10245" max="10245" width="9.140625" style="156"/>
    <col min="10246" max="10246" width="8" style="156" customWidth="1"/>
    <col min="10247" max="10496" width="9.140625" style="156"/>
    <col min="10497" max="10497" width="43.42578125" style="156" customWidth="1"/>
    <col min="10498" max="10498" width="10.5703125" style="156" customWidth="1"/>
    <col min="10499" max="10499" width="10.140625" style="156" customWidth="1"/>
    <col min="10500" max="10500" width="8.7109375" style="156" customWidth="1"/>
    <col min="10501" max="10501" width="9.140625" style="156"/>
    <col min="10502" max="10502" width="8" style="156" customWidth="1"/>
    <col min="10503" max="10752" width="9.140625" style="156"/>
    <col min="10753" max="10753" width="43.42578125" style="156" customWidth="1"/>
    <col min="10754" max="10754" width="10.5703125" style="156" customWidth="1"/>
    <col min="10755" max="10755" width="10.140625" style="156" customWidth="1"/>
    <col min="10756" max="10756" width="8.7109375" style="156" customWidth="1"/>
    <col min="10757" max="10757" width="9.140625" style="156"/>
    <col min="10758" max="10758" width="8" style="156" customWidth="1"/>
    <col min="10759" max="11008" width="9.140625" style="156"/>
    <col min="11009" max="11009" width="43.42578125" style="156" customWidth="1"/>
    <col min="11010" max="11010" width="10.5703125" style="156" customWidth="1"/>
    <col min="11011" max="11011" width="10.140625" style="156" customWidth="1"/>
    <col min="11012" max="11012" width="8.7109375" style="156" customWidth="1"/>
    <col min="11013" max="11013" width="9.140625" style="156"/>
    <col min="11014" max="11014" width="8" style="156" customWidth="1"/>
    <col min="11015" max="11264" width="9.140625" style="156"/>
    <col min="11265" max="11265" width="43.42578125" style="156" customWidth="1"/>
    <col min="11266" max="11266" width="10.5703125" style="156" customWidth="1"/>
    <col min="11267" max="11267" width="10.140625" style="156" customWidth="1"/>
    <col min="11268" max="11268" width="8.7109375" style="156" customWidth="1"/>
    <col min="11269" max="11269" width="9.140625" style="156"/>
    <col min="11270" max="11270" width="8" style="156" customWidth="1"/>
    <col min="11271" max="11520" width="9.140625" style="156"/>
    <col min="11521" max="11521" width="43.42578125" style="156" customWidth="1"/>
    <col min="11522" max="11522" width="10.5703125" style="156" customWidth="1"/>
    <col min="11523" max="11523" width="10.140625" style="156" customWidth="1"/>
    <col min="11524" max="11524" width="8.7109375" style="156" customWidth="1"/>
    <col min="11525" max="11525" width="9.140625" style="156"/>
    <col min="11526" max="11526" width="8" style="156" customWidth="1"/>
    <col min="11527" max="11776" width="9.140625" style="156"/>
    <col min="11777" max="11777" width="43.42578125" style="156" customWidth="1"/>
    <col min="11778" max="11778" width="10.5703125" style="156" customWidth="1"/>
    <col min="11779" max="11779" width="10.140625" style="156" customWidth="1"/>
    <col min="11780" max="11780" width="8.7109375" style="156" customWidth="1"/>
    <col min="11781" max="11781" width="9.140625" style="156"/>
    <col min="11782" max="11782" width="8" style="156" customWidth="1"/>
    <col min="11783" max="12032" width="9.140625" style="156"/>
    <col min="12033" max="12033" width="43.42578125" style="156" customWidth="1"/>
    <col min="12034" max="12034" width="10.5703125" style="156" customWidth="1"/>
    <col min="12035" max="12035" width="10.140625" style="156" customWidth="1"/>
    <col min="12036" max="12036" width="8.7109375" style="156" customWidth="1"/>
    <col min="12037" max="12037" width="9.140625" style="156"/>
    <col min="12038" max="12038" width="8" style="156" customWidth="1"/>
    <col min="12039" max="12288" width="9.140625" style="156"/>
    <col min="12289" max="12289" width="43.42578125" style="156" customWidth="1"/>
    <col min="12290" max="12290" width="10.5703125" style="156" customWidth="1"/>
    <col min="12291" max="12291" width="10.140625" style="156" customWidth="1"/>
    <col min="12292" max="12292" width="8.7109375" style="156" customWidth="1"/>
    <col min="12293" max="12293" width="9.140625" style="156"/>
    <col min="12294" max="12294" width="8" style="156" customWidth="1"/>
    <col min="12295" max="12544" width="9.140625" style="156"/>
    <col min="12545" max="12545" width="43.42578125" style="156" customWidth="1"/>
    <col min="12546" max="12546" width="10.5703125" style="156" customWidth="1"/>
    <col min="12547" max="12547" width="10.140625" style="156" customWidth="1"/>
    <col min="12548" max="12548" width="8.7109375" style="156" customWidth="1"/>
    <col min="12549" max="12549" width="9.140625" style="156"/>
    <col min="12550" max="12550" width="8" style="156" customWidth="1"/>
    <col min="12551" max="12800" width="9.140625" style="156"/>
    <col min="12801" max="12801" width="43.42578125" style="156" customWidth="1"/>
    <col min="12802" max="12802" width="10.5703125" style="156" customWidth="1"/>
    <col min="12803" max="12803" width="10.140625" style="156" customWidth="1"/>
    <col min="12804" max="12804" width="8.7109375" style="156" customWidth="1"/>
    <col min="12805" max="12805" width="9.140625" style="156"/>
    <col min="12806" max="12806" width="8" style="156" customWidth="1"/>
    <col min="12807" max="13056" width="9.140625" style="156"/>
    <col min="13057" max="13057" width="43.42578125" style="156" customWidth="1"/>
    <col min="13058" max="13058" width="10.5703125" style="156" customWidth="1"/>
    <col min="13059" max="13059" width="10.140625" style="156" customWidth="1"/>
    <col min="13060" max="13060" width="8.7109375" style="156" customWidth="1"/>
    <col min="13061" max="13061" width="9.140625" style="156"/>
    <col min="13062" max="13062" width="8" style="156" customWidth="1"/>
    <col min="13063" max="13312" width="9.140625" style="156"/>
    <col min="13313" max="13313" width="43.42578125" style="156" customWidth="1"/>
    <col min="13314" max="13314" width="10.5703125" style="156" customWidth="1"/>
    <col min="13315" max="13315" width="10.140625" style="156" customWidth="1"/>
    <col min="13316" max="13316" width="8.7109375" style="156" customWidth="1"/>
    <col min="13317" max="13317" width="9.140625" style="156"/>
    <col min="13318" max="13318" width="8" style="156" customWidth="1"/>
    <col min="13319" max="13568" width="9.140625" style="156"/>
    <col min="13569" max="13569" width="43.42578125" style="156" customWidth="1"/>
    <col min="13570" max="13570" width="10.5703125" style="156" customWidth="1"/>
    <col min="13571" max="13571" width="10.140625" style="156" customWidth="1"/>
    <col min="13572" max="13572" width="8.7109375" style="156" customWidth="1"/>
    <col min="13573" max="13573" width="9.140625" style="156"/>
    <col min="13574" max="13574" width="8" style="156" customWidth="1"/>
    <col min="13575" max="13824" width="9.140625" style="156"/>
    <col min="13825" max="13825" width="43.42578125" style="156" customWidth="1"/>
    <col min="13826" max="13826" width="10.5703125" style="156" customWidth="1"/>
    <col min="13827" max="13827" width="10.140625" style="156" customWidth="1"/>
    <col min="13828" max="13828" width="8.7109375" style="156" customWidth="1"/>
    <col min="13829" max="13829" width="9.140625" style="156"/>
    <col min="13830" max="13830" width="8" style="156" customWidth="1"/>
    <col min="13831" max="14080" width="9.140625" style="156"/>
    <col min="14081" max="14081" width="43.42578125" style="156" customWidth="1"/>
    <col min="14082" max="14082" width="10.5703125" style="156" customWidth="1"/>
    <col min="14083" max="14083" width="10.140625" style="156" customWidth="1"/>
    <col min="14084" max="14084" width="8.7109375" style="156" customWidth="1"/>
    <col min="14085" max="14085" width="9.140625" style="156"/>
    <col min="14086" max="14086" width="8" style="156" customWidth="1"/>
    <col min="14087" max="14336" width="9.140625" style="156"/>
    <col min="14337" max="14337" width="43.42578125" style="156" customWidth="1"/>
    <col min="14338" max="14338" width="10.5703125" style="156" customWidth="1"/>
    <col min="14339" max="14339" width="10.140625" style="156" customWidth="1"/>
    <col min="14340" max="14340" width="8.7109375" style="156" customWidth="1"/>
    <col min="14341" max="14341" width="9.140625" style="156"/>
    <col min="14342" max="14342" width="8" style="156" customWidth="1"/>
    <col min="14343" max="14592" width="9.140625" style="156"/>
    <col min="14593" max="14593" width="43.42578125" style="156" customWidth="1"/>
    <col min="14594" max="14594" width="10.5703125" style="156" customWidth="1"/>
    <col min="14595" max="14595" width="10.140625" style="156" customWidth="1"/>
    <col min="14596" max="14596" width="8.7109375" style="156" customWidth="1"/>
    <col min="14597" max="14597" width="9.140625" style="156"/>
    <col min="14598" max="14598" width="8" style="156" customWidth="1"/>
    <col min="14599" max="14848" width="9.140625" style="156"/>
    <col min="14849" max="14849" width="43.42578125" style="156" customWidth="1"/>
    <col min="14850" max="14850" width="10.5703125" style="156" customWidth="1"/>
    <col min="14851" max="14851" width="10.140625" style="156" customWidth="1"/>
    <col min="14852" max="14852" width="8.7109375" style="156" customWidth="1"/>
    <col min="14853" max="14853" width="9.140625" style="156"/>
    <col min="14854" max="14854" width="8" style="156" customWidth="1"/>
    <col min="14855" max="15104" width="9.140625" style="156"/>
    <col min="15105" max="15105" width="43.42578125" style="156" customWidth="1"/>
    <col min="15106" max="15106" width="10.5703125" style="156" customWidth="1"/>
    <col min="15107" max="15107" width="10.140625" style="156" customWidth="1"/>
    <col min="15108" max="15108" width="8.7109375" style="156" customWidth="1"/>
    <col min="15109" max="15109" width="9.140625" style="156"/>
    <col min="15110" max="15110" width="8" style="156" customWidth="1"/>
    <col min="15111" max="15360" width="9.140625" style="156"/>
    <col min="15361" max="15361" width="43.42578125" style="156" customWidth="1"/>
    <col min="15362" max="15362" width="10.5703125" style="156" customWidth="1"/>
    <col min="15363" max="15363" width="10.140625" style="156" customWidth="1"/>
    <col min="15364" max="15364" width="8.7109375" style="156" customWidth="1"/>
    <col min="15365" max="15365" width="9.140625" style="156"/>
    <col min="15366" max="15366" width="8" style="156" customWidth="1"/>
    <col min="15367" max="15616" width="9.140625" style="156"/>
    <col min="15617" max="15617" width="43.42578125" style="156" customWidth="1"/>
    <col min="15618" max="15618" width="10.5703125" style="156" customWidth="1"/>
    <col min="15619" max="15619" width="10.140625" style="156" customWidth="1"/>
    <col min="15620" max="15620" width="8.7109375" style="156" customWidth="1"/>
    <col min="15621" max="15621" width="9.140625" style="156"/>
    <col min="15622" max="15622" width="8" style="156" customWidth="1"/>
    <col min="15623" max="15872" width="9.140625" style="156"/>
    <col min="15873" max="15873" width="43.42578125" style="156" customWidth="1"/>
    <col min="15874" max="15874" width="10.5703125" style="156" customWidth="1"/>
    <col min="15875" max="15875" width="10.140625" style="156" customWidth="1"/>
    <col min="15876" max="15876" width="8.7109375" style="156" customWidth="1"/>
    <col min="15877" max="15877" width="9.140625" style="156"/>
    <col min="15878" max="15878" width="8" style="156" customWidth="1"/>
    <col min="15879" max="16128" width="9.140625" style="156"/>
    <col min="16129" max="16129" width="43.42578125" style="156" customWidth="1"/>
    <col min="16130" max="16130" width="10.5703125" style="156" customWidth="1"/>
    <col min="16131" max="16131" width="10.140625" style="156" customWidth="1"/>
    <col min="16132" max="16132" width="8.7109375" style="156" customWidth="1"/>
    <col min="16133" max="16133" width="9.140625" style="156"/>
    <col min="16134" max="16134" width="8" style="156" customWidth="1"/>
    <col min="16135" max="16384" width="9.140625" style="156"/>
  </cols>
  <sheetData>
    <row r="1" spans="1:9">
      <c r="A1" s="652" t="s">
        <v>1158</v>
      </c>
      <c r="B1" s="653"/>
      <c r="C1" s="653"/>
      <c r="D1" s="653"/>
      <c r="E1" s="653"/>
      <c r="F1" s="653"/>
      <c r="G1" s="653"/>
      <c r="H1" s="653"/>
      <c r="I1" s="653"/>
    </row>
    <row r="2" spans="1:9">
      <c r="A2" s="653"/>
      <c r="B2" s="653"/>
      <c r="C2" s="653"/>
      <c r="D2" s="653"/>
      <c r="E2" s="653" t="s">
        <v>908</v>
      </c>
      <c r="F2" s="653"/>
      <c r="G2" s="653"/>
      <c r="H2" s="653"/>
      <c r="I2" s="654"/>
    </row>
    <row r="3" spans="1:9">
      <c r="A3" s="653" t="s">
        <v>911</v>
      </c>
      <c r="B3" s="653"/>
      <c r="C3" s="653"/>
      <c r="D3" s="653"/>
      <c r="E3" s="653"/>
      <c r="F3" s="653"/>
      <c r="G3" s="653"/>
      <c r="H3" s="653"/>
      <c r="I3" s="654"/>
    </row>
    <row r="4" spans="1:9">
      <c r="A4" s="653"/>
      <c r="B4" s="653"/>
      <c r="C4" s="653"/>
      <c r="D4" s="653"/>
      <c r="E4" s="653"/>
      <c r="F4" s="653"/>
      <c r="G4" s="653"/>
      <c r="H4" s="653"/>
      <c r="I4" s="654"/>
    </row>
    <row r="5" spans="1:9" ht="48" customHeight="1">
      <c r="A5" s="318" t="s">
        <v>1036</v>
      </c>
      <c r="B5" s="318" t="s">
        <v>48</v>
      </c>
      <c r="C5" s="602" t="s">
        <v>1720</v>
      </c>
      <c r="D5" s="602" t="s">
        <v>1721</v>
      </c>
      <c r="E5" s="1922" t="s">
        <v>1037</v>
      </c>
      <c r="F5" s="1922"/>
      <c r="G5" s="1922"/>
      <c r="H5" s="653"/>
      <c r="I5" s="654"/>
    </row>
    <row r="6" spans="1:9" ht="18.75" customHeight="1">
      <c r="A6" s="318"/>
      <c r="B6" s="318"/>
      <c r="C6" s="721" t="s">
        <v>1108</v>
      </c>
      <c r="D6" s="721" t="s">
        <v>1173</v>
      </c>
      <c r="E6" s="1080" t="s">
        <v>1841</v>
      </c>
      <c r="F6" s="1102" t="s">
        <v>1842</v>
      </c>
      <c r="G6" s="1102" t="s">
        <v>1843</v>
      </c>
      <c r="H6" s="653"/>
      <c r="I6" s="654"/>
    </row>
    <row r="7" spans="1:9">
      <c r="A7" s="318">
        <v>1</v>
      </c>
      <c r="B7" s="318">
        <v>2</v>
      </c>
      <c r="C7" s="617">
        <v>3</v>
      </c>
      <c r="D7" s="617">
        <v>4</v>
      </c>
      <c r="E7" s="1081">
        <v>5</v>
      </c>
      <c r="F7" s="1081"/>
      <c r="G7" s="1081"/>
      <c r="H7" s="653"/>
      <c r="I7" s="654"/>
    </row>
    <row r="8" spans="1:9" ht="30">
      <c r="A8" s="318">
        <v>1</v>
      </c>
      <c r="B8" s="655" t="s">
        <v>1038</v>
      </c>
      <c r="C8" s="1140"/>
      <c r="D8" s="1140"/>
      <c r="E8" s="1140"/>
      <c r="F8" s="1140"/>
      <c r="G8" s="1140"/>
      <c r="H8" s="653"/>
      <c r="I8" s="654"/>
    </row>
    <row r="9" spans="1:9">
      <c r="A9" s="318" t="s">
        <v>848</v>
      </c>
      <c r="B9" s="318" t="s">
        <v>1039</v>
      </c>
      <c r="C9" s="1141">
        <v>2006</v>
      </c>
      <c r="D9" s="1142">
        <f t="shared" ref="D9:E11" si="0">C24</f>
        <v>2005</v>
      </c>
      <c r="E9" s="1142">
        <f t="shared" si="0"/>
        <v>2004</v>
      </c>
      <c r="F9" s="1142">
        <f t="shared" ref="F9:F11" si="1">E24</f>
        <v>1975</v>
      </c>
      <c r="G9" s="1142">
        <f t="shared" ref="G9:G11" si="2">F24</f>
        <v>1962</v>
      </c>
      <c r="H9" s="653"/>
      <c r="I9" s="654"/>
    </row>
    <row r="10" spans="1:9">
      <c r="A10" s="318" t="s">
        <v>849</v>
      </c>
      <c r="B10" s="318" t="s">
        <v>1040</v>
      </c>
      <c r="C10" s="1143">
        <v>329</v>
      </c>
      <c r="D10" s="1142">
        <f t="shared" si="0"/>
        <v>329</v>
      </c>
      <c r="E10" s="1142">
        <f t="shared" si="0"/>
        <v>329</v>
      </c>
      <c r="F10" s="1142">
        <f t="shared" si="1"/>
        <v>323</v>
      </c>
      <c r="G10" s="1142">
        <f t="shared" si="2"/>
        <v>322</v>
      </c>
      <c r="H10" s="653"/>
      <c r="I10" s="654"/>
    </row>
    <row r="11" spans="1:9" ht="30">
      <c r="A11" s="318" t="s">
        <v>1041</v>
      </c>
      <c r="B11" s="655" t="s">
        <v>1042</v>
      </c>
      <c r="C11" s="1140"/>
      <c r="D11" s="1142">
        <f t="shared" si="0"/>
        <v>0</v>
      </c>
      <c r="E11" s="1142">
        <f t="shared" si="0"/>
        <v>0</v>
      </c>
      <c r="F11" s="1142">
        <f t="shared" si="1"/>
        <v>0</v>
      </c>
      <c r="G11" s="1142">
        <f t="shared" si="2"/>
        <v>0</v>
      </c>
      <c r="H11" s="653"/>
      <c r="I11" s="654"/>
    </row>
    <row r="12" spans="1:9" s="654" customFormat="1">
      <c r="A12" s="318"/>
      <c r="B12" s="655" t="s">
        <v>68</v>
      </c>
      <c r="C12" s="1145">
        <f>SUM(C9:C11)</f>
        <v>2335</v>
      </c>
      <c r="D12" s="1146">
        <f t="shared" ref="D12:E12" si="3">SUM(D9:D11)</f>
        <v>2334</v>
      </c>
      <c r="E12" s="1146">
        <f t="shared" si="3"/>
        <v>2333</v>
      </c>
      <c r="F12" s="1146">
        <f t="shared" ref="F12:G12" si="4">SUM(F9:F11)</f>
        <v>2298</v>
      </c>
      <c r="G12" s="1146">
        <f t="shared" si="4"/>
        <v>2284</v>
      </c>
      <c r="H12" s="653"/>
    </row>
    <row r="13" spans="1:9">
      <c r="A13" s="318">
        <v>2</v>
      </c>
      <c r="B13" s="318" t="s">
        <v>1043</v>
      </c>
      <c r="C13" s="1140"/>
      <c r="D13" s="1140"/>
      <c r="E13" s="1140"/>
      <c r="F13" s="1140"/>
      <c r="G13" s="1140"/>
      <c r="H13" s="653"/>
      <c r="I13" s="654"/>
    </row>
    <row r="14" spans="1:9">
      <c r="A14" s="318" t="s">
        <v>1044</v>
      </c>
      <c r="B14" s="318" t="s">
        <v>1039</v>
      </c>
      <c r="C14" s="1140">
        <v>10</v>
      </c>
      <c r="D14" s="1142">
        <v>11</v>
      </c>
      <c r="E14" s="1142">
        <v>0</v>
      </c>
      <c r="F14" s="1142">
        <v>0</v>
      </c>
      <c r="G14" s="1142">
        <v>0</v>
      </c>
      <c r="H14" s="653"/>
      <c r="I14" s="654"/>
    </row>
    <row r="15" spans="1:9">
      <c r="A15" s="318" t="s">
        <v>849</v>
      </c>
      <c r="B15" s="318" t="s">
        <v>1040</v>
      </c>
      <c r="C15" s="1140">
        <v>2</v>
      </c>
      <c r="D15" s="1142">
        <v>2</v>
      </c>
      <c r="E15" s="1142">
        <v>0</v>
      </c>
      <c r="F15" s="1142">
        <v>0</v>
      </c>
      <c r="G15" s="1142">
        <v>0</v>
      </c>
      <c r="H15" s="653"/>
      <c r="I15" s="654"/>
    </row>
    <row r="16" spans="1:9" ht="30">
      <c r="A16" s="318" t="s">
        <v>1041</v>
      </c>
      <c r="B16" s="655" t="s">
        <v>1042</v>
      </c>
      <c r="C16" s="1140">
        <v>0</v>
      </c>
      <c r="D16" s="1142">
        <v>0</v>
      </c>
      <c r="E16" s="1142">
        <v>0</v>
      </c>
      <c r="F16" s="1142">
        <v>0</v>
      </c>
      <c r="G16" s="1142">
        <v>0</v>
      </c>
      <c r="H16" s="653"/>
      <c r="I16" s="654"/>
    </row>
    <row r="17" spans="1:9" s="654" customFormat="1">
      <c r="A17" s="318"/>
      <c r="B17" s="655" t="s">
        <v>68</v>
      </c>
      <c r="C17" s="1145">
        <f>SUM(C14:C16)</f>
        <v>12</v>
      </c>
      <c r="D17" s="1146">
        <f>SUM(D14:D16)</f>
        <v>13</v>
      </c>
      <c r="E17" s="1146">
        <f>SUM(E14:E16)</f>
        <v>0</v>
      </c>
      <c r="F17" s="1146">
        <f t="shared" ref="F17:G17" si="5">SUM(F14:F16)</f>
        <v>0</v>
      </c>
      <c r="G17" s="1146">
        <f t="shared" si="5"/>
        <v>0</v>
      </c>
      <c r="H17" s="653"/>
    </row>
    <row r="18" spans="1:9" ht="30">
      <c r="A18" s="318">
        <v>3</v>
      </c>
      <c r="B18" s="655" t="s">
        <v>1045</v>
      </c>
      <c r="C18" s="1140"/>
      <c r="D18" s="1140"/>
      <c r="E18" s="1140"/>
      <c r="F18" s="1140"/>
      <c r="G18" s="1140"/>
      <c r="H18" s="653"/>
      <c r="I18" s="654"/>
    </row>
    <row r="19" spans="1:9">
      <c r="A19" s="318" t="s">
        <v>1044</v>
      </c>
      <c r="B19" s="318" t="s">
        <v>1039</v>
      </c>
      <c r="C19" s="1140">
        <v>11</v>
      </c>
      <c r="D19" s="1142">
        <v>12</v>
      </c>
      <c r="E19" s="1142">
        <v>29</v>
      </c>
      <c r="F19" s="1142">
        <v>13</v>
      </c>
      <c r="G19" s="1142">
        <v>18</v>
      </c>
      <c r="H19" s="653"/>
      <c r="I19" s="654"/>
    </row>
    <row r="20" spans="1:9">
      <c r="A20" s="318" t="s">
        <v>849</v>
      </c>
      <c r="B20" s="318" t="s">
        <v>1040</v>
      </c>
      <c r="C20" s="1140">
        <v>2</v>
      </c>
      <c r="D20" s="1142">
        <v>2</v>
      </c>
      <c r="E20" s="1142">
        <v>6</v>
      </c>
      <c r="F20" s="1142">
        <v>1</v>
      </c>
      <c r="G20" s="1142">
        <v>3</v>
      </c>
      <c r="H20" s="653"/>
      <c r="I20" s="654"/>
    </row>
    <row r="21" spans="1:9" ht="30">
      <c r="A21" s="318" t="s">
        <v>1041</v>
      </c>
      <c r="B21" s="655" t="s">
        <v>1046</v>
      </c>
      <c r="C21" s="1140">
        <v>0</v>
      </c>
      <c r="D21" s="1142">
        <v>0</v>
      </c>
      <c r="E21" s="1142">
        <v>0</v>
      </c>
      <c r="F21" s="1142">
        <v>0</v>
      </c>
      <c r="G21" s="1142">
        <v>0</v>
      </c>
      <c r="H21" s="653"/>
      <c r="I21" s="654"/>
    </row>
    <row r="22" spans="1:9" s="654" customFormat="1">
      <c r="A22" s="318"/>
      <c r="B22" s="655" t="s">
        <v>68</v>
      </c>
      <c r="C22" s="1145">
        <f>SUM(C19:C21)</f>
        <v>13</v>
      </c>
      <c r="D22" s="1146">
        <f>SUM(D19:D21)</f>
        <v>14</v>
      </c>
      <c r="E22" s="1146">
        <f>SUM(E19:E21)</f>
        <v>35</v>
      </c>
      <c r="F22" s="1146">
        <f t="shared" ref="F22:G22" si="6">SUM(F19:F21)</f>
        <v>14</v>
      </c>
      <c r="G22" s="1146">
        <f t="shared" si="6"/>
        <v>21</v>
      </c>
      <c r="H22" s="653"/>
    </row>
    <row r="23" spans="1:9" ht="30">
      <c r="A23" s="318">
        <v>4</v>
      </c>
      <c r="B23" s="655" t="s">
        <v>1047</v>
      </c>
      <c r="C23" s="1140"/>
      <c r="D23" s="1140"/>
      <c r="E23" s="1140"/>
      <c r="F23" s="1140"/>
      <c r="G23" s="1140"/>
      <c r="H23" s="653"/>
      <c r="I23" s="654"/>
    </row>
    <row r="24" spans="1:9">
      <c r="A24" s="318" t="s">
        <v>1044</v>
      </c>
      <c r="B24" s="318" t="s">
        <v>1039</v>
      </c>
      <c r="C24" s="1140">
        <f>C9+C14-C19</f>
        <v>2005</v>
      </c>
      <c r="D24" s="1142">
        <f>D9+D14-D19</f>
        <v>2004</v>
      </c>
      <c r="E24" s="1142">
        <f t="shared" ref="E24:G24" si="7">E9+E14-E19</f>
        <v>1975</v>
      </c>
      <c r="F24" s="1142">
        <f t="shared" si="7"/>
        <v>1962</v>
      </c>
      <c r="G24" s="1142">
        <f t="shared" si="7"/>
        <v>1944</v>
      </c>
      <c r="H24" s="653"/>
      <c r="I24" s="654"/>
    </row>
    <row r="25" spans="1:9">
      <c r="A25" s="318" t="s">
        <v>849</v>
      </c>
      <c r="B25" s="318" t="s">
        <v>1040</v>
      </c>
      <c r="C25" s="1140">
        <f t="shared" ref="C25:D27" si="8">C10+C15-C20</f>
        <v>329</v>
      </c>
      <c r="D25" s="1142">
        <f t="shared" ref="D25:D26" si="9">D10+D15-D20</f>
        <v>329</v>
      </c>
      <c r="E25" s="1142">
        <f t="shared" ref="E25:G25" si="10">E10+E15-E20</f>
        <v>323</v>
      </c>
      <c r="F25" s="1142">
        <f t="shared" si="10"/>
        <v>322</v>
      </c>
      <c r="G25" s="1142">
        <f t="shared" si="10"/>
        <v>319</v>
      </c>
      <c r="H25" s="653"/>
      <c r="I25" s="654"/>
    </row>
    <row r="26" spans="1:9" ht="30">
      <c r="A26" s="318" t="s">
        <v>1041</v>
      </c>
      <c r="B26" s="655" t="s">
        <v>1046</v>
      </c>
      <c r="C26" s="1140">
        <f t="shared" si="8"/>
        <v>0</v>
      </c>
      <c r="D26" s="1142">
        <f t="shared" si="9"/>
        <v>0</v>
      </c>
      <c r="E26" s="1142">
        <f t="shared" ref="E26:G26" si="11">E11+E16-E21</f>
        <v>0</v>
      </c>
      <c r="F26" s="1142">
        <f t="shared" si="11"/>
        <v>0</v>
      </c>
      <c r="G26" s="1142">
        <f t="shared" si="11"/>
        <v>0</v>
      </c>
      <c r="I26" s="654"/>
    </row>
    <row r="27" spans="1:9" s="654" customFormat="1">
      <c r="A27" s="318"/>
      <c r="B27" s="318" t="s">
        <v>68</v>
      </c>
      <c r="C27" s="1144">
        <f t="shared" si="8"/>
        <v>2334</v>
      </c>
      <c r="D27" s="1144">
        <f t="shared" si="8"/>
        <v>2333</v>
      </c>
      <c r="E27" s="1144">
        <f t="shared" ref="E27:G27" si="12">E12+E17-E22</f>
        <v>2298</v>
      </c>
      <c r="F27" s="1144">
        <f t="shared" si="12"/>
        <v>2284</v>
      </c>
      <c r="G27" s="1144">
        <f t="shared" si="12"/>
        <v>2263</v>
      </c>
      <c r="H27" s="653"/>
    </row>
    <row r="28" spans="1:9">
      <c r="A28" s="656"/>
      <c r="B28" s="2212" t="s">
        <v>1048</v>
      </c>
      <c r="C28" s="2212"/>
      <c r="D28" s="2212"/>
      <c r="E28" s="2213"/>
      <c r="F28" s="2213"/>
      <c r="G28" s="2213"/>
      <c r="H28" s="2213"/>
      <c r="I28" s="654"/>
    </row>
    <row r="30" spans="1:9">
      <c r="E30" s="657"/>
      <c r="F30" s="657"/>
      <c r="G30" s="657"/>
    </row>
    <row r="31" spans="1:9">
      <c r="D31" s="657"/>
    </row>
    <row r="32" spans="1:9">
      <c r="D32" s="2214" t="s">
        <v>401</v>
      </c>
      <c r="E32" s="2214"/>
      <c r="F32" s="2214"/>
      <c r="G32" s="2214"/>
      <c r="H32" s="1961"/>
    </row>
  </sheetData>
  <mergeCells count="3">
    <mergeCell ref="B28:H28"/>
    <mergeCell ref="D32:H32"/>
    <mergeCell ref="E5:G5"/>
  </mergeCells>
  <phoneticPr fontId="205" type="noConversion"/>
  <pageMargins left="0.70866141732283472" right="0.70866141732283472" top="0.74803149606299213" bottom="0.74803149606299213" header="0.31496062992125984" footer="0.31496062992125984"/>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34"/>
  <sheetViews>
    <sheetView showGridLines="0" tabSelected="1" view="pageBreakPreview" zoomScale="70" zoomScaleNormal="70" zoomScaleSheetLayoutView="70" workbookViewId="0">
      <pane xSplit="2" topLeftCell="C1" activePane="topRight" state="frozen"/>
      <selection activeCell="A4" sqref="A4"/>
      <selection pane="topRight" activeCell="E29" sqref="E29"/>
    </sheetView>
  </sheetViews>
  <sheetFormatPr defaultRowHeight="15.75"/>
  <cols>
    <col min="1" max="1" width="8.7109375" style="281" bestFit="1" customWidth="1"/>
    <col min="2" max="2" width="57.5703125" style="79" bestFit="1" customWidth="1"/>
    <col min="3" max="3" width="16.85546875" style="79" customWidth="1"/>
    <col min="4" max="6" width="17" style="79" customWidth="1"/>
    <col min="7" max="7" width="16.85546875" style="79" customWidth="1"/>
    <col min="8" max="8" width="9.140625" style="79"/>
    <col min="9" max="9" width="16.42578125" style="79" bestFit="1" customWidth="1"/>
    <col min="10" max="11" width="10.5703125" style="79" bestFit="1" customWidth="1"/>
    <col min="12" max="12" width="12.7109375" style="79" bestFit="1" customWidth="1"/>
    <col min="13" max="256" width="9.140625" style="79"/>
    <col min="257" max="257" width="41.7109375" style="79" customWidth="1"/>
    <col min="258" max="259" width="9.140625" style="79"/>
    <col min="260" max="260" width="14.85546875" style="79" customWidth="1"/>
    <col min="261" max="512" width="9.140625" style="79"/>
    <col min="513" max="513" width="41.7109375" style="79" customWidth="1"/>
    <col min="514" max="515" width="9.140625" style="79"/>
    <col min="516" max="516" width="14.85546875" style="79" customWidth="1"/>
    <col min="517" max="768" width="9.140625" style="79"/>
    <col min="769" max="769" width="41.7109375" style="79" customWidth="1"/>
    <col min="770" max="771" width="9.140625" style="79"/>
    <col min="772" max="772" width="14.85546875" style="79" customWidth="1"/>
    <col min="773" max="1024" width="9.140625" style="79"/>
    <col min="1025" max="1025" width="41.7109375" style="79" customWidth="1"/>
    <col min="1026" max="1027" width="9.140625" style="79"/>
    <col min="1028" max="1028" width="14.85546875" style="79" customWidth="1"/>
    <col min="1029" max="1280" width="9.140625" style="79"/>
    <col min="1281" max="1281" width="41.7109375" style="79" customWidth="1"/>
    <col min="1282" max="1283" width="9.140625" style="79"/>
    <col min="1284" max="1284" width="14.85546875" style="79" customWidth="1"/>
    <col min="1285" max="1536" width="9.140625" style="79"/>
    <col min="1537" max="1537" width="41.7109375" style="79" customWidth="1"/>
    <col min="1538" max="1539" width="9.140625" style="79"/>
    <col min="1540" max="1540" width="14.85546875" style="79" customWidth="1"/>
    <col min="1541" max="1792" width="9.140625" style="79"/>
    <col min="1793" max="1793" width="41.7109375" style="79" customWidth="1"/>
    <col min="1794" max="1795" width="9.140625" style="79"/>
    <col min="1796" max="1796" width="14.85546875" style="79" customWidth="1"/>
    <col min="1797" max="2048" width="9.140625" style="79"/>
    <col min="2049" max="2049" width="41.7109375" style="79" customWidth="1"/>
    <col min="2050" max="2051" width="9.140625" style="79"/>
    <col min="2052" max="2052" width="14.85546875" style="79" customWidth="1"/>
    <col min="2053" max="2304" width="9.140625" style="79"/>
    <col min="2305" max="2305" width="41.7109375" style="79" customWidth="1"/>
    <col min="2306" max="2307" width="9.140625" style="79"/>
    <col min="2308" max="2308" width="14.85546875" style="79" customWidth="1"/>
    <col min="2309" max="2560" width="9.140625" style="79"/>
    <col min="2561" max="2561" width="41.7109375" style="79" customWidth="1"/>
    <col min="2562" max="2563" width="9.140625" style="79"/>
    <col min="2564" max="2564" width="14.85546875" style="79" customWidth="1"/>
    <col min="2565" max="2816" width="9.140625" style="79"/>
    <col min="2817" max="2817" width="41.7109375" style="79" customWidth="1"/>
    <col min="2818" max="2819" width="9.140625" style="79"/>
    <col min="2820" max="2820" width="14.85546875" style="79" customWidth="1"/>
    <col min="2821" max="3072" width="9.140625" style="79"/>
    <col min="3073" max="3073" width="41.7109375" style="79" customWidth="1"/>
    <col min="3074" max="3075" width="9.140625" style="79"/>
    <col min="3076" max="3076" width="14.85546875" style="79" customWidth="1"/>
    <col min="3077" max="3328" width="9.140625" style="79"/>
    <col min="3329" max="3329" width="41.7109375" style="79" customWidth="1"/>
    <col min="3330" max="3331" width="9.140625" style="79"/>
    <col min="3332" max="3332" width="14.85546875" style="79" customWidth="1"/>
    <col min="3333" max="3584" width="9.140625" style="79"/>
    <col min="3585" max="3585" width="41.7109375" style="79" customWidth="1"/>
    <col min="3586" max="3587" width="9.140625" style="79"/>
    <col min="3588" max="3588" width="14.85546875" style="79" customWidth="1"/>
    <col min="3589" max="3840" width="9.140625" style="79"/>
    <col min="3841" max="3841" width="41.7109375" style="79" customWidth="1"/>
    <col min="3842" max="3843" width="9.140625" style="79"/>
    <col min="3844" max="3844" width="14.85546875" style="79" customWidth="1"/>
    <col min="3845" max="4096" width="9.140625" style="79"/>
    <col min="4097" max="4097" width="41.7109375" style="79" customWidth="1"/>
    <col min="4098" max="4099" width="9.140625" style="79"/>
    <col min="4100" max="4100" width="14.85546875" style="79" customWidth="1"/>
    <col min="4101" max="4352" width="9.140625" style="79"/>
    <col min="4353" max="4353" width="41.7109375" style="79" customWidth="1"/>
    <col min="4354" max="4355" width="9.140625" style="79"/>
    <col min="4356" max="4356" width="14.85546875" style="79" customWidth="1"/>
    <col min="4357" max="4608" width="9.140625" style="79"/>
    <col min="4609" max="4609" width="41.7109375" style="79" customWidth="1"/>
    <col min="4610" max="4611" width="9.140625" style="79"/>
    <col min="4612" max="4612" width="14.85546875" style="79" customWidth="1"/>
    <col min="4613" max="4864" width="9.140625" style="79"/>
    <col min="4865" max="4865" width="41.7109375" style="79" customWidth="1"/>
    <col min="4866" max="4867" width="9.140625" style="79"/>
    <col min="4868" max="4868" width="14.85546875" style="79" customWidth="1"/>
    <col min="4869" max="5120" width="9.140625" style="79"/>
    <col min="5121" max="5121" width="41.7109375" style="79" customWidth="1"/>
    <col min="5122" max="5123" width="9.140625" style="79"/>
    <col min="5124" max="5124" width="14.85546875" style="79" customWidth="1"/>
    <col min="5125" max="5376" width="9.140625" style="79"/>
    <col min="5377" max="5377" width="41.7109375" style="79" customWidth="1"/>
    <col min="5378" max="5379" width="9.140625" style="79"/>
    <col min="5380" max="5380" width="14.85546875" style="79" customWidth="1"/>
    <col min="5381" max="5632" width="9.140625" style="79"/>
    <col min="5633" max="5633" width="41.7109375" style="79" customWidth="1"/>
    <col min="5634" max="5635" width="9.140625" style="79"/>
    <col min="5636" max="5636" width="14.85546875" style="79" customWidth="1"/>
    <col min="5637" max="5888" width="9.140625" style="79"/>
    <col min="5889" max="5889" width="41.7109375" style="79" customWidth="1"/>
    <col min="5890" max="5891" width="9.140625" style="79"/>
    <col min="5892" max="5892" width="14.85546875" style="79" customWidth="1"/>
    <col min="5893" max="6144" width="9.140625" style="79"/>
    <col min="6145" max="6145" width="41.7109375" style="79" customWidth="1"/>
    <col min="6146" max="6147" width="9.140625" style="79"/>
    <col min="6148" max="6148" width="14.85546875" style="79" customWidth="1"/>
    <col min="6149" max="6400" width="9.140625" style="79"/>
    <col min="6401" max="6401" width="41.7109375" style="79" customWidth="1"/>
    <col min="6402" max="6403" width="9.140625" style="79"/>
    <col min="6404" max="6404" width="14.85546875" style="79" customWidth="1"/>
    <col min="6405" max="6656" width="9.140625" style="79"/>
    <col min="6657" max="6657" width="41.7109375" style="79" customWidth="1"/>
    <col min="6658" max="6659" width="9.140625" style="79"/>
    <col min="6660" max="6660" width="14.85546875" style="79" customWidth="1"/>
    <col min="6661" max="6912" width="9.140625" style="79"/>
    <col min="6913" max="6913" width="41.7109375" style="79" customWidth="1"/>
    <col min="6914" max="6915" width="9.140625" style="79"/>
    <col min="6916" max="6916" width="14.85546875" style="79" customWidth="1"/>
    <col min="6917" max="7168" width="9.140625" style="79"/>
    <col min="7169" max="7169" width="41.7109375" style="79" customWidth="1"/>
    <col min="7170" max="7171" width="9.140625" style="79"/>
    <col min="7172" max="7172" width="14.85546875" style="79" customWidth="1"/>
    <col min="7173" max="7424" width="9.140625" style="79"/>
    <col min="7425" max="7425" width="41.7109375" style="79" customWidth="1"/>
    <col min="7426" max="7427" width="9.140625" style="79"/>
    <col min="7428" max="7428" width="14.85546875" style="79" customWidth="1"/>
    <col min="7429" max="7680" width="9.140625" style="79"/>
    <col min="7681" max="7681" width="41.7109375" style="79" customWidth="1"/>
    <col min="7682" max="7683" width="9.140625" style="79"/>
    <col min="7684" max="7684" width="14.85546875" style="79" customWidth="1"/>
    <col min="7685" max="7936" width="9.140625" style="79"/>
    <col min="7937" max="7937" width="41.7109375" style="79" customWidth="1"/>
    <col min="7938" max="7939" width="9.140625" style="79"/>
    <col min="7940" max="7940" width="14.85546875" style="79" customWidth="1"/>
    <col min="7941" max="8192" width="9.140625" style="79"/>
    <col min="8193" max="8193" width="41.7109375" style="79" customWidth="1"/>
    <col min="8194" max="8195" width="9.140625" style="79"/>
    <col min="8196" max="8196" width="14.85546875" style="79" customWidth="1"/>
    <col min="8197" max="8448" width="9.140625" style="79"/>
    <col min="8449" max="8449" width="41.7109375" style="79" customWidth="1"/>
    <col min="8450" max="8451" width="9.140625" style="79"/>
    <col min="8452" max="8452" width="14.85546875" style="79" customWidth="1"/>
    <col min="8453" max="8704" width="9.140625" style="79"/>
    <col min="8705" max="8705" width="41.7109375" style="79" customWidth="1"/>
    <col min="8706" max="8707" width="9.140625" style="79"/>
    <col min="8708" max="8708" width="14.85546875" style="79" customWidth="1"/>
    <col min="8709" max="8960" width="9.140625" style="79"/>
    <col min="8961" max="8961" width="41.7109375" style="79" customWidth="1"/>
    <col min="8962" max="8963" width="9.140625" style="79"/>
    <col min="8964" max="8964" width="14.85546875" style="79" customWidth="1"/>
    <col min="8965" max="9216" width="9.140625" style="79"/>
    <col min="9217" max="9217" width="41.7109375" style="79" customWidth="1"/>
    <col min="9218" max="9219" width="9.140625" style="79"/>
    <col min="9220" max="9220" width="14.85546875" style="79" customWidth="1"/>
    <col min="9221" max="9472" width="9.140625" style="79"/>
    <col min="9473" max="9473" width="41.7109375" style="79" customWidth="1"/>
    <col min="9474" max="9475" width="9.140625" style="79"/>
    <col min="9476" max="9476" width="14.85546875" style="79" customWidth="1"/>
    <col min="9477" max="9728" width="9.140625" style="79"/>
    <col min="9729" max="9729" width="41.7109375" style="79" customWidth="1"/>
    <col min="9730" max="9731" width="9.140625" style="79"/>
    <col min="9732" max="9732" width="14.85546875" style="79" customWidth="1"/>
    <col min="9733" max="9984" width="9.140625" style="79"/>
    <col min="9985" max="9985" width="41.7109375" style="79" customWidth="1"/>
    <col min="9986" max="9987" width="9.140625" style="79"/>
    <col min="9988" max="9988" width="14.85546875" style="79" customWidth="1"/>
    <col min="9989" max="10240" width="9.140625" style="79"/>
    <col min="10241" max="10241" width="41.7109375" style="79" customWidth="1"/>
    <col min="10242" max="10243" width="9.140625" style="79"/>
    <col min="10244" max="10244" width="14.85546875" style="79" customWidth="1"/>
    <col min="10245" max="10496" width="9.140625" style="79"/>
    <col min="10497" max="10497" width="41.7109375" style="79" customWidth="1"/>
    <col min="10498" max="10499" width="9.140625" style="79"/>
    <col min="10500" max="10500" width="14.85546875" style="79" customWidth="1"/>
    <col min="10501" max="10752" width="9.140625" style="79"/>
    <col min="10753" max="10753" width="41.7109375" style="79" customWidth="1"/>
    <col min="10754" max="10755" width="9.140625" style="79"/>
    <col min="10756" max="10756" width="14.85546875" style="79" customWidth="1"/>
    <col min="10757" max="11008" width="9.140625" style="79"/>
    <col min="11009" max="11009" width="41.7109375" style="79" customWidth="1"/>
    <col min="11010" max="11011" width="9.140625" style="79"/>
    <col min="11012" max="11012" width="14.85546875" style="79" customWidth="1"/>
    <col min="11013" max="11264" width="9.140625" style="79"/>
    <col min="11265" max="11265" width="41.7109375" style="79" customWidth="1"/>
    <col min="11266" max="11267" width="9.140625" style="79"/>
    <col min="11268" max="11268" width="14.85546875" style="79" customWidth="1"/>
    <col min="11269" max="11520" width="9.140625" style="79"/>
    <col min="11521" max="11521" width="41.7109375" style="79" customWidth="1"/>
    <col min="11522" max="11523" width="9.140625" style="79"/>
    <col min="11524" max="11524" width="14.85546875" style="79" customWidth="1"/>
    <col min="11525" max="11776" width="9.140625" style="79"/>
    <col min="11777" max="11777" width="41.7109375" style="79" customWidth="1"/>
    <col min="11778" max="11779" width="9.140625" style="79"/>
    <col min="11780" max="11780" width="14.85546875" style="79" customWidth="1"/>
    <col min="11781" max="12032" width="9.140625" style="79"/>
    <col min="12033" max="12033" width="41.7109375" style="79" customWidth="1"/>
    <col min="12034" max="12035" width="9.140625" style="79"/>
    <col min="12036" max="12036" width="14.85546875" style="79" customWidth="1"/>
    <col min="12037" max="12288" width="9.140625" style="79"/>
    <col min="12289" max="12289" width="41.7109375" style="79" customWidth="1"/>
    <col min="12290" max="12291" width="9.140625" style="79"/>
    <col min="12292" max="12292" width="14.85546875" style="79" customWidth="1"/>
    <col min="12293" max="12544" width="9.140625" style="79"/>
    <col min="12545" max="12545" width="41.7109375" style="79" customWidth="1"/>
    <col min="12546" max="12547" width="9.140625" style="79"/>
    <col min="12548" max="12548" width="14.85546875" style="79" customWidth="1"/>
    <col min="12549" max="12800" width="9.140625" style="79"/>
    <col min="12801" max="12801" width="41.7109375" style="79" customWidth="1"/>
    <col min="12802" max="12803" width="9.140625" style="79"/>
    <col min="12804" max="12804" width="14.85546875" style="79" customWidth="1"/>
    <col min="12805" max="13056" width="9.140625" style="79"/>
    <col min="13057" max="13057" width="41.7109375" style="79" customWidth="1"/>
    <col min="13058" max="13059" width="9.140625" style="79"/>
    <col min="13060" max="13060" width="14.85546875" style="79" customWidth="1"/>
    <col min="13061" max="13312" width="9.140625" style="79"/>
    <col min="13313" max="13313" width="41.7109375" style="79" customWidth="1"/>
    <col min="13314" max="13315" width="9.140625" style="79"/>
    <col min="13316" max="13316" width="14.85546875" style="79" customWidth="1"/>
    <col min="13317" max="13568" width="9.140625" style="79"/>
    <col min="13569" max="13569" width="41.7109375" style="79" customWidth="1"/>
    <col min="13570" max="13571" width="9.140625" style="79"/>
    <col min="13572" max="13572" width="14.85546875" style="79" customWidth="1"/>
    <col min="13573" max="13824" width="9.140625" style="79"/>
    <col min="13825" max="13825" width="41.7109375" style="79" customWidth="1"/>
    <col min="13826" max="13827" width="9.140625" style="79"/>
    <col min="13828" max="13828" width="14.85546875" style="79" customWidth="1"/>
    <col min="13829" max="14080" width="9.140625" style="79"/>
    <col min="14081" max="14081" width="41.7109375" style="79" customWidth="1"/>
    <col min="14082" max="14083" width="9.140625" style="79"/>
    <col min="14084" max="14084" width="14.85546875" style="79" customWidth="1"/>
    <col min="14085" max="14336" width="9.140625" style="79"/>
    <col min="14337" max="14337" width="41.7109375" style="79" customWidth="1"/>
    <col min="14338" max="14339" width="9.140625" style="79"/>
    <col min="14340" max="14340" width="14.85546875" style="79" customWidth="1"/>
    <col min="14341" max="14592" width="9.140625" style="79"/>
    <col min="14593" max="14593" width="41.7109375" style="79" customWidth="1"/>
    <col min="14594" max="14595" width="9.140625" style="79"/>
    <col min="14596" max="14596" width="14.85546875" style="79" customWidth="1"/>
    <col min="14597" max="14848" width="9.140625" style="79"/>
    <col min="14849" max="14849" width="41.7109375" style="79" customWidth="1"/>
    <col min="14850" max="14851" width="9.140625" style="79"/>
    <col min="14852" max="14852" width="14.85546875" style="79" customWidth="1"/>
    <col min="14853" max="15104" width="9.140625" style="79"/>
    <col min="15105" max="15105" width="41.7109375" style="79" customWidth="1"/>
    <col min="15106" max="15107" width="9.140625" style="79"/>
    <col min="15108" max="15108" width="14.85546875" style="79" customWidth="1"/>
    <col min="15109" max="15360" width="9.140625" style="79"/>
    <col min="15361" max="15361" width="41.7109375" style="79" customWidth="1"/>
    <col min="15362" max="15363" width="9.140625" style="79"/>
    <col min="15364" max="15364" width="14.85546875" style="79" customWidth="1"/>
    <col min="15365" max="15616" width="9.140625" style="79"/>
    <col min="15617" max="15617" width="41.7109375" style="79" customWidth="1"/>
    <col min="15618" max="15619" width="9.140625" style="79"/>
    <col min="15620" max="15620" width="14.85546875" style="79" customWidth="1"/>
    <col min="15621" max="15872" width="9.140625" style="79"/>
    <col min="15873" max="15873" width="41.7109375" style="79" customWidth="1"/>
    <col min="15874" max="15875" width="9.140625" style="79"/>
    <col min="15876" max="15876" width="14.85546875" style="79" customWidth="1"/>
    <col min="15877" max="16128" width="9.140625" style="79"/>
    <col min="16129" max="16129" width="41.7109375" style="79" customWidth="1"/>
    <col min="16130" max="16131" width="9.140625" style="79"/>
    <col min="16132" max="16132" width="14.85546875" style="79" customWidth="1"/>
    <col min="16133" max="16384" width="9.140625" style="79"/>
  </cols>
  <sheetData>
    <row r="1" spans="1:12" ht="27.75" customHeight="1">
      <c r="A1" s="1726" t="s">
        <v>1158</v>
      </c>
      <c r="B1" s="1726"/>
      <c r="C1" s="1726"/>
      <c r="D1" s="1726"/>
      <c r="E1" s="1726"/>
      <c r="F1" s="1726"/>
      <c r="G1" s="1726"/>
    </row>
    <row r="2" spans="1:12" ht="21" customHeight="1">
      <c r="A2" s="1731" t="s">
        <v>533</v>
      </c>
      <c r="B2" s="1731"/>
      <c r="C2" s="93"/>
      <c r="D2" s="1741" t="s">
        <v>479</v>
      </c>
      <c r="E2" s="1741"/>
      <c r="F2" s="1741"/>
      <c r="G2" s="1741"/>
    </row>
    <row r="3" spans="1:12" ht="15.75" customHeight="1">
      <c r="A3" s="1732"/>
      <c r="B3" s="1732"/>
      <c r="C3" s="1730" t="s">
        <v>156</v>
      </c>
      <c r="D3" s="1730"/>
      <c r="E3" s="1730"/>
      <c r="F3" s="1730"/>
      <c r="G3" s="1730"/>
    </row>
    <row r="4" spans="1:12" ht="38.25" customHeight="1">
      <c r="A4" s="1733" t="s">
        <v>48</v>
      </c>
      <c r="B4" s="1734"/>
      <c r="C4" s="356" t="s">
        <v>1088</v>
      </c>
      <c r="D4" s="598" t="s">
        <v>459</v>
      </c>
      <c r="E4" s="1742" t="s">
        <v>1159</v>
      </c>
      <c r="F4" s="1743"/>
      <c r="G4" s="1744"/>
    </row>
    <row r="5" spans="1:12" ht="31.5">
      <c r="A5" s="1735"/>
      <c r="B5" s="1736"/>
      <c r="C5" s="356" t="s">
        <v>1844</v>
      </c>
      <c r="D5" s="87" t="s">
        <v>1840</v>
      </c>
      <c r="E5" s="87" t="s">
        <v>1841</v>
      </c>
      <c r="F5" s="87" t="s">
        <v>1842</v>
      </c>
      <c r="G5" s="87" t="s">
        <v>1843</v>
      </c>
    </row>
    <row r="6" spans="1:12" ht="21" customHeight="1">
      <c r="A6" s="90" t="s">
        <v>137</v>
      </c>
      <c r="B6" s="80" t="s">
        <v>480</v>
      </c>
      <c r="C6" s="81"/>
      <c r="D6" s="82"/>
      <c r="E6" s="82"/>
      <c r="F6" s="82"/>
      <c r="G6" s="81"/>
    </row>
    <row r="7" spans="1:12" ht="63">
      <c r="A7" s="1737">
        <v>1</v>
      </c>
      <c r="B7" s="83" t="s">
        <v>956</v>
      </c>
      <c r="C7" s="376">
        <f>'F4'!D7</f>
        <v>390.43605860000002</v>
      </c>
      <c r="D7" s="376">
        <f>'F4'!H7</f>
        <v>520.11280000000011</v>
      </c>
      <c r="E7" s="376">
        <f ca="1">'F4'!I7</f>
        <v>674.37215707346149</v>
      </c>
      <c r="F7" s="376">
        <f ca="1">'F4'!J7</f>
        <v>777.25978423916843</v>
      </c>
      <c r="G7" s="376">
        <f ca="1">'F4'!K7</f>
        <v>894.7404203284467</v>
      </c>
      <c r="I7" s="274"/>
      <c r="J7" s="274"/>
      <c r="K7" s="274"/>
      <c r="L7" s="274"/>
    </row>
    <row r="8" spans="1:12" ht="19.5" customHeight="1">
      <c r="A8" s="1738"/>
      <c r="B8" s="83" t="s">
        <v>531</v>
      </c>
      <c r="C8" s="376">
        <f>'F4'!D8</f>
        <v>458.3379812</v>
      </c>
      <c r="D8" s="376">
        <f>'F4'!H8</f>
        <v>610.56720000000007</v>
      </c>
      <c r="E8" s="376">
        <f ca="1">'F4'!I8</f>
        <v>791.65427134710706</v>
      </c>
      <c r="F8" s="376">
        <f ca="1">'F4'!J8</f>
        <v>912.43539888945861</v>
      </c>
      <c r="G8" s="376">
        <f ca="1">'F4'!K8</f>
        <v>1050.3474499507852</v>
      </c>
    </row>
    <row r="9" spans="1:12" ht="19.5" customHeight="1">
      <c r="A9" s="1739"/>
      <c r="B9" s="83" t="s">
        <v>1104</v>
      </c>
      <c r="C9" s="376">
        <f>'F4'!D15</f>
        <v>22.125959999999999</v>
      </c>
      <c r="D9" s="376">
        <f>'F4'!H15</f>
        <v>0</v>
      </c>
      <c r="E9" s="376">
        <f ca="1">'F4'!I15</f>
        <v>21.667549932316888</v>
      </c>
      <c r="F9" s="376">
        <f ca="1">'F4'!J15</f>
        <v>24.973325201428224</v>
      </c>
      <c r="G9" s="376">
        <f ca="1">'F4'!K15</f>
        <v>28.747973252722659</v>
      </c>
      <c r="I9" s="275"/>
      <c r="J9" s="275"/>
      <c r="K9" s="275"/>
      <c r="L9" s="275"/>
    </row>
    <row r="10" spans="1:12" ht="21" customHeight="1">
      <c r="A10" s="89">
        <v>2</v>
      </c>
      <c r="B10" s="61" t="s">
        <v>481</v>
      </c>
      <c r="C10" s="376"/>
      <c r="D10" s="376"/>
      <c r="E10" s="376"/>
      <c r="F10" s="376"/>
      <c r="G10" s="376"/>
      <c r="I10" s="275"/>
      <c r="J10" s="275"/>
      <c r="K10" s="275"/>
      <c r="L10" s="275"/>
    </row>
    <row r="11" spans="1:12" s="85" customFormat="1" ht="28.5" customHeight="1">
      <c r="A11" s="89">
        <v>3</v>
      </c>
      <c r="B11" s="84" t="s">
        <v>482</v>
      </c>
      <c r="C11" s="376"/>
      <c r="D11" s="376"/>
      <c r="E11" s="376"/>
      <c r="F11" s="376"/>
      <c r="G11" s="376"/>
    </row>
    <row r="12" spans="1:12" s="85" customFormat="1" ht="21" customHeight="1">
      <c r="A12" s="91">
        <v>4</v>
      </c>
      <c r="B12" s="84" t="s">
        <v>483</v>
      </c>
      <c r="C12" s="376">
        <f>'F1'!E40</f>
        <v>59.680767074999991</v>
      </c>
      <c r="D12" s="376">
        <f ca="1">'F1'!I42</f>
        <v>62.664805428749986</v>
      </c>
      <c r="E12" s="376">
        <f ca="1">'F1'!J42</f>
        <v>65.798045700187501</v>
      </c>
      <c r="F12" s="376">
        <f ca="1">'F1'!K42</f>
        <v>69.087947985196863</v>
      </c>
      <c r="G12" s="376">
        <f ca="1">'F1'!L42</f>
        <v>72.542345384456709</v>
      </c>
    </row>
    <row r="13" spans="1:12" ht="21" customHeight="1">
      <c r="A13" s="88"/>
      <c r="B13" s="86" t="s">
        <v>832</v>
      </c>
      <c r="C13" s="377">
        <f>SUM(C7:C12)</f>
        <v>930.58076687499999</v>
      </c>
      <c r="D13" s="377">
        <f ca="1">SUM(D7:D12)</f>
        <v>1193.3448054287503</v>
      </c>
      <c r="E13" s="377">
        <f t="shared" ref="E13:G13" ca="1" si="0">SUM(E7:E12)</f>
        <v>1553.492024053073</v>
      </c>
      <c r="F13" s="377">
        <f t="shared" ca="1" si="0"/>
        <v>1783.7564563152521</v>
      </c>
      <c r="G13" s="377">
        <f t="shared" ca="1" si="0"/>
        <v>2046.3781889164113</v>
      </c>
    </row>
    <row r="14" spans="1:12" ht="21" customHeight="1">
      <c r="A14" s="90" t="s">
        <v>142</v>
      </c>
      <c r="B14" s="80" t="s">
        <v>69</v>
      </c>
      <c r="C14" s="257"/>
      <c r="D14" s="257"/>
      <c r="E14" s="257"/>
      <c r="F14" s="257"/>
      <c r="G14" s="257"/>
    </row>
    <row r="15" spans="1:12" ht="21" customHeight="1">
      <c r="A15" s="89">
        <v>1</v>
      </c>
      <c r="B15" s="61" t="s">
        <v>484</v>
      </c>
      <c r="C15" s="376">
        <f>'F1'!E21</f>
        <v>109.02610352608558</v>
      </c>
      <c r="D15" s="376">
        <f>'F1'!I21</f>
        <v>118.36058441784557</v>
      </c>
      <c r="E15" s="376">
        <f>'F1'!J21</f>
        <v>62.693075297664002</v>
      </c>
      <c r="F15" s="376">
        <f>'F1'!K21</f>
        <v>72.116142278050546</v>
      </c>
      <c r="G15" s="376">
        <f>'F1'!L21</f>
        <v>82.723118375977734</v>
      </c>
    </row>
    <row r="16" spans="1:12" ht="21" customHeight="1">
      <c r="A16" s="89">
        <v>2</v>
      </c>
      <c r="B16" s="83" t="s">
        <v>485</v>
      </c>
      <c r="C16" s="376">
        <f>'F1'!E20</f>
        <v>181.00853521921925</v>
      </c>
      <c r="D16" s="376">
        <f>'F1'!I20</f>
        <v>200.07128251266437</v>
      </c>
      <c r="E16" s="376">
        <f>'F1'!J20</f>
        <v>226.22857750689752</v>
      </c>
      <c r="F16" s="376">
        <f>'F1'!K20</f>
        <v>252.64190648925509</v>
      </c>
      <c r="G16" s="376">
        <f>'F1'!L20</f>
        <v>285.05993943634553</v>
      </c>
    </row>
    <row r="17" spans="1:7" ht="21" customHeight="1">
      <c r="A17" s="89">
        <v>3</v>
      </c>
      <c r="B17" s="61" t="s">
        <v>534</v>
      </c>
      <c r="C17" s="376">
        <f>'F1'!E22</f>
        <v>43.966289359157621</v>
      </c>
      <c r="D17" s="376">
        <f>'F1'!I22</f>
        <v>45.916448693165435</v>
      </c>
      <c r="E17" s="376">
        <f>'F1'!J22</f>
        <v>80.119684150110402</v>
      </c>
      <c r="F17" s="376">
        <f>'F1'!K22</f>
        <v>84.209540482498568</v>
      </c>
      <c r="G17" s="376">
        <f>'F1'!L22</f>
        <v>89.150002155242419</v>
      </c>
    </row>
    <row r="18" spans="1:7" ht="21" customHeight="1">
      <c r="A18" s="89">
        <v>4</v>
      </c>
      <c r="B18" s="79" t="s">
        <v>535</v>
      </c>
      <c r="C18" s="376">
        <f>'F1'!E23</f>
        <v>11.437299851000001</v>
      </c>
      <c r="D18" s="376">
        <f>'F1'!I23</f>
        <v>11.437299851000001</v>
      </c>
      <c r="E18" s="376">
        <f>'F1'!J23</f>
        <v>11.437299851000001</v>
      </c>
      <c r="F18" s="376">
        <f>'F1'!K23</f>
        <v>11.437299851000001</v>
      </c>
      <c r="G18" s="376">
        <f>'F1'!L23</f>
        <v>11.437299851000001</v>
      </c>
    </row>
    <row r="19" spans="1:7" ht="21" customHeight="1">
      <c r="A19" s="597">
        <v>5</v>
      </c>
      <c r="B19" s="61" t="s">
        <v>1563</v>
      </c>
      <c r="C19" s="376">
        <f ca="1">'F1'!E29</f>
        <v>11.771482246147199</v>
      </c>
      <c r="D19" s="376">
        <f ca="1">'F1'!I29</f>
        <v>12.353561595493185</v>
      </c>
      <c r="E19" s="376">
        <f ca="1">'F1'!J29</f>
        <v>19.907446547326924</v>
      </c>
      <c r="F19" s="376">
        <f ca="1">'F1'!K29</f>
        <v>22.887628453519063</v>
      </c>
      <c r="G19" s="376">
        <f ca="1">'F1'!L29</f>
        <v>26.309799320072177</v>
      </c>
    </row>
    <row r="20" spans="1:7" ht="21" customHeight="1">
      <c r="A20" s="597">
        <v>6</v>
      </c>
      <c r="B20" s="61" t="s">
        <v>1564</v>
      </c>
      <c r="C20" s="376">
        <f ca="1">'F1'!E31</f>
        <v>7.4445232033846978</v>
      </c>
      <c r="D20" s="376"/>
      <c r="E20" s="376"/>
      <c r="F20" s="376"/>
      <c r="G20" s="376"/>
    </row>
    <row r="21" spans="1:7" ht="21" customHeight="1">
      <c r="A21" s="1237">
        <v>7</v>
      </c>
      <c r="B21" s="61" t="s">
        <v>2276</v>
      </c>
      <c r="C21" s="376">
        <f ca="1">'F1'!E32</f>
        <v>12.091317142051214</v>
      </c>
      <c r="D21" s="376"/>
      <c r="E21" s="376"/>
      <c r="F21" s="376"/>
      <c r="G21" s="376"/>
    </row>
    <row r="22" spans="1:7" ht="21" customHeight="1">
      <c r="A22" s="1237">
        <v>8</v>
      </c>
      <c r="B22" s="61" t="s">
        <v>2277</v>
      </c>
      <c r="C22" s="376">
        <f ca="1">SUM('F1'!E33:E36)</f>
        <v>-18.754496656876224</v>
      </c>
      <c r="D22" s="376"/>
      <c r="E22" s="376"/>
      <c r="F22" s="376"/>
      <c r="G22" s="376"/>
    </row>
    <row r="23" spans="1:7" ht="21" customHeight="1">
      <c r="A23" s="597">
        <v>8</v>
      </c>
      <c r="B23" s="61" t="s">
        <v>1565</v>
      </c>
      <c r="C23" s="376">
        <v>0</v>
      </c>
      <c r="D23" s="376"/>
      <c r="E23" s="376"/>
      <c r="F23" s="376"/>
      <c r="G23" s="376"/>
    </row>
    <row r="24" spans="1:7" ht="21" customHeight="1">
      <c r="A24" s="92" t="s">
        <v>183</v>
      </c>
      <c r="B24" s="86" t="s">
        <v>486</v>
      </c>
      <c r="C24" s="376">
        <f>'F1'!E26</f>
        <v>354.26703555861457</v>
      </c>
      <c r="D24" s="376">
        <f>'F1'!I26</f>
        <v>413.52079389946869</v>
      </c>
      <c r="E24" s="376">
        <f>'F1'!J26</f>
        <v>488.28218410574107</v>
      </c>
      <c r="F24" s="376">
        <f>'F1'!K26</f>
        <v>577.09452950466289</v>
      </c>
      <c r="G24" s="376">
        <f>'F1'!L26</f>
        <v>676.34901130002538</v>
      </c>
    </row>
    <row r="25" spans="1:7" ht="21" customHeight="1">
      <c r="A25" s="1728" t="s">
        <v>184</v>
      </c>
      <c r="B25" s="61" t="s">
        <v>487</v>
      </c>
      <c r="C25" s="376">
        <f>'F1'!E27</f>
        <v>328.729290047701</v>
      </c>
      <c r="D25" s="376">
        <f>'F1'!I27</f>
        <v>330.46501208369176</v>
      </c>
      <c r="E25" s="376">
        <f>'F1'!J27</f>
        <v>379.58336576686173</v>
      </c>
      <c r="F25" s="376">
        <f>'F1'!K27</f>
        <v>439.67253052154427</v>
      </c>
      <c r="G25" s="376">
        <f>'F1'!L27</f>
        <v>507.94567630758615</v>
      </c>
    </row>
    <row r="26" spans="1:7" ht="21" customHeight="1">
      <c r="A26" s="1729"/>
      <c r="B26" s="61" t="s">
        <v>488</v>
      </c>
      <c r="C26" s="376"/>
      <c r="D26" s="376"/>
      <c r="E26" s="376"/>
      <c r="F26" s="376"/>
      <c r="G26" s="376"/>
    </row>
    <row r="27" spans="1:7" ht="21" customHeight="1">
      <c r="A27" s="596" t="s">
        <v>185</v>
      </c>
      <c r="B27" s="61" t="s">
        <v>89</v>
      </c>
      <c r="C27" s="376">
        <f>'F1'!E25</f>
        <v>227.82510178363708</v>
      </c>
      <c r="D27" s="376">
        <f>'F1'!I25</f>
        <v>253.39411601032378</v>
      </c>
      <c r="E27" s="376">
        <f>'F1'!J25</f>
        <v>285.2403908274714</v>
      </c>
      <c r="F27" s="376">
        <f>'F1'!K25</f>
        <v>323.69687873472174</v>
      </c>
      <c r="G27" s="376">
        <f>'F1'!L25</f>
        <v>367.40334217016192</v>
      </c>
    </row>
    <row r="28" spans="1:7" ht="21" customHeight="1">
      <c r="A28" s="88" t="s">
        <v>314</v>
      </c>
      <c r="B28" s="86" t="s">
        <v>833</v>
      </c>
      <c r="C28" s="377">
        <f ca="1">SUM(C15:C27)</f>
        <v>1268.812481280122</v>
      </c>
      <c r="D28" s="377">
        <f ca="1">SUM(D15:D27)</f>
        <v>1385.5190990636529</v>
      </c>
      <c r="E28" s="377">
        <f t="shared" ref="E28:G28" ca="1" si="1">SUM(E15:E27)</f>
        <v>1553.492024053073</v>
      </c>
      <c r="F28" s="377">
        <f t="shared" ca="1" si="1"/>
        <v>1783.7564563152523</v>
      </c>
      <c r="G28" s="377">
        <f t="shared" ca="1" si="1"/>
        <v>2046.3781889164113</v>
      </c>
    </row>
    <row r="29" spans="1:7" ht="21" customHeight="1">
      <c r="A29" s="88" t="s">
        <v>317</v>
      </c>
      <c r="B29" s="86" t="s">
        <v>1567</v>
      </c>
      <c r="C29" s="377">
        <f>'F1'!E44</f>
        <v>-421.28</v>
      </c>
      <c r="D29" s="377">
        <f>'F1'!I44</f>
        <v>-310.81</v>
      </c>
      <c r="E29" s="377"/>
      <c r="F29" s="377"/>
      <c r="G29" s="377"/>
    </row>
    <row r="30" spans="1:7" ht="21" customHeight="1">
      <c r="A30" s="88" t="s">
        <v>1566</v>
      </c>
      <c r="B30" s="86" t="s">
        <v>831</v>
      </c>
      <c r="C30" s="1639">
        <f ca="1">C13-C28-C29</f>
        <v>83.048285594877939</v>
      </c>
      <c r="D30" s="377">
        <f ca="1">D13-D28-D29</f>
        <v>118.63570636509741</v>
      </c>
      <c r="E30" s="377"/>
      <c r="F30" s="377"/>
      <c r="G30" s="377"/>
    </row>
    <row r="31" spans="1:7" ht="15" customHeight="1">
      <c r="A31" s="1740" t="s">
        <v>834</v>
      </c>
      <c r="B31" s="1740"/>
      <c r="C31" s="1740"/>
    </row>
    <row r="32" spans="1:7">
      <c r="C32" s="274"/>
    </row>
    <row r="33" spans="3:7">
      <c r="C33" s="1291"/>
    </row>
    <row r="34" spans="3:7" ht="15.75" customHeight="1">
      <c r="D34" s="1727" t="s">
        <v>401</v>
      </c>
      <c r="E34" s="1727"/>
      <c r="F34" s="1727"/>
      <c r="G34" s="1727"/>
    </row>
  </sheetData>
  <mergeCells count="10">
    <mergeCell ref="A1:G1"/>
    <mergeCell ref="D34:G34"/>
    <mergeCell ref="A25:A26"/>
    <mergeCell ref="C3:G3"/>
    <mergeCell ref="A2:B3"/>
    <mergeCell ref="A4:B5"/>
    <mergeCell ref="A7:A9"/>
    <mergeCell ref="A31:C31"/>
    <mergeCell ref="D2:G2"/>
    <mergeCell ref="E4:G4"/>
  </mergeCells>
  <pageMargins left="0.43" right="0.54" top="0.74803149606299213" bottom="0.74803149606299213" header="0.31496062992125984" footer="0.31496062992125984"/>
  <pageSetup paperSize="9" scale="61"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21"/>
  <sheetViews>
    <sheetView showGridLines="0" view="pageBreakPreview" zoomScale="80" zoomScaleNormal="85" zoomScaleSheetLayoutView="80" workbookViewId="0">
      <selection activeCell="G10" sqref="G10"/>
    </sheetView>
  </sheetViews>
  <sheetFormatPr defaultRowHeight="15.75"/>
  <cols>
    <col min="1" max="1" width="9.140625" style="389"/>
    <col min="2" max="2" width="34.7109375" style="389" customWidth="1"/>
    <col min="3" max="3" width="17.42578125" style="389" customWidth="1"/>
    <col min="4" max="4" width="18.42578125" style="389" bestFit="1" customWidth="1"/>
    <col min="5" max="5" width="15.140625" style="389" bestFit="1" customWidth="1"/>
    <col min="6" max="7" width="15.140625" style="389" customWidth="1"/>
    <col min="8" max="254" width="9.140625" style="389"/>
    <col min="255" max="255" width="27.140625" style="389" customWidth="1"/>
    <col min="256" max="256" width="11.7109375" style="389" customWidth="1"/>
    <col min="257" max="257" width="12" style="389" bestFit="1" customWidth="1"/>
    <col min="258" max="258" width="14.85546875" style="389" customWidth="1"/>
    <col min="259" max="261" width="12" style="389" bestFit="1" customWidth="1"/>
    <col min="262" max="510" width="9.140625" style="389"/>
    <col min="511" max="511" width="27.140625" style="389" customWidth="1"/>
    <col min="512" max="512" width="11.7109375" style="389" customWidth="1"/>
    <col min="513" max="513" width="12" style="389" bestFit="1" customWidth="1"/>
    <col min="514" max="514" width="14.85546875" style="389" customWidth="1"/>
    <col min="515" max="517" width="12" style="389" bestFit="1" customWidth="1"/>
    <col min="518" max="766" width="9.140625" style="389"/>
    <col min="767" max="767" width="27.140625" style="389" customWidth="1"/>
    <col min="768" max="768" width="11.7109375" style="389" customWidth="1"/>
    <col min="769" max="769" width="12" style="389" bestFit="1" customWidth="1"/>
    <col min="770" max="770" width="14.85546875" style="389" customWidth="1"/>
    <col min="771" max="773" width="12" style="389" bestFit="1" customWidth="1"/>
    <col min="774" max="1022" width="9.140625" style="389"/>
    <col min="1023" max="1023" width="27.140625" style="389" customWidth="1"/>
    <col min="1024" max="1024" width="11.7109375" style="389" customWidth="1"/>
    <col min="1025" max="1025" width="12" style="389" bestFit="1" customWidth="1"/>
    <col min="1026" max="1026" width="14.85546875" style="389" customWidth="1"/>
    <col min="1027" max="1029" width="12" style="389" bestFit="1" customWidth="1"/>
    <col min="1030" max="1278" width="9.140625" style="389"/>
    <col min="1279" max="1279" width="27.140625" style="389" customWidth="1"/>
    <col min="1280" max="1280" width="11.7109375" style="389" customWidth="1"/>
    <col min="1281" max="1281" width="12" style="389" bestFit="1" customWidth="1"/>
    <col min="1282" max="1282" width="14.85546875" style="389" customWidth="1"/>
    <col min="1283" max="1285" width="12" style="389" bestFit="1" customWidth="1"/>
    <col min="1286" max="1534" width="9.140625" style="389"/>
    <col min="1535" max="1535" width="27.140625" style="389" customWidth="1"/>
    <col min="1536" max="1536" width="11.7109375" style="389" customWidth="1"/>
    <col min="1537" max="1537" width="12" style="389" bestFit="1" customWidth="1"/>
    <col min="1538" max="1538" width="14.85546875" style="389" customWidth="1"/>
    <col min="1539" max="1541" width="12" style="389" bestFit="1" customWidth="1"/>
    <col min="1542" max="1790" width="9.140625" style="389"/>
    <col min="1791" max="1791" width="27.140625" style="389" customWidth="1"/>
    <col min="1792" max="1792" width="11.7109375" style="389" customWidth="1"/>
    <col min="1793" max="1793" width="12" style="389" bestFit="1" customWidth="1"/>
    <col min="1794" max="1794" width="14.85546875" style="389" customWidth="1"/>
    <col min="1795" max="1797" width="12" style="389" bestFit="1" customWidth="1"/>
    <col min="1798" max="2046" width="9.140625" style="389"/>
    <col min="2047" max="2047" width="27.140625" style="389" customWidth="1"/>
    <col min="2048" max="2048" width="11.7109375" style="389" customWidth="1"/>
    <col min="2049" max="2049" width="12" style="389" bestFit="1" customWidth="1"/>
    <col min="2050" max="2050" width="14.85546875" style="389" customWidth="1"/>
    <col min="2051" max="2053" width="12" style="389" bestFit="1" customWidth="1"/>
    <col min="2054" max="2302" width="9.140625" style="389"/>
    <col min="2303" max="2303" width="27.140625" style="389" customWidth="1"/>
    <col min="2304" max="2304" width="11.7109375" style="389" customWidth="1"/>
    <col min="2305" max="2305" width="12" style="389" bestFit="1" customWidth="1"/>
    <col min="2306" max="2306" width="14.85546875" style="389" customWidth="1"/>
    <col min="2307" max="2309" width="12" style="389" bestFit="1" customWidth="1"/>
    <col min="2310" max="2558" width="9.140625" style="389"/>
    <col min="2559" max="2559" width="27.140625" style="389" customWidth="1"/>
    <col min="2560" max="2560" width="11.7109375" style="389" customWidth="1"/>
    <col min="2561" max="2561" width="12" style="389" bestFit="1" customWidth="1"/>
    <col min="2562" max="2562" width="14.85546875" style="389" customWidth="1"/>
    <col min="2563" max="2565" width="12" style="389" bestFit="1" customWidth="1"/>
    <col min="2566" max="2814" width="9.140625" style="389"/>
    <col min="2815" max="2815" width="27.140625" style="389" customWidth="1"/>
    <col min="2816" max="2816" width="11.7109375" style="389" customWidth="1"/>
    <col min="2817" max="2817" width="12" style="389" bestFit="1" customWidth="1"/>
    <col min="2818" max="2818" width="14.85546875" style="389" customWidth="1"/>
    <col min="2819" max="2821" width="12" style="389" bestFit="1" customWidth="1"/>
    <col min="2822" max="3070" width="9.140625" style="389"/>
    <col min="3071" max="3071" width="27.140625" style="389" customWidth="1"/>
    <col min="3072" max="3072" width="11.7109375" style="389" customWidth="1"/>
    <col min="3073" max="3073" width="12" style="389" bestFit="1" customWidth="1"/>
    <col min="3074" max="3074" width="14.85546875" style="389" customWidth="1"/>
    <col min="3075" max="3077" width="12" style="389" bestFit="1" customWidth="1"/>
    <col min="3078" max="3326" width="9.140625" style="389"/>
    <col min="3327" max="3327" width="27.140625" style="389" customWidth="1"/>
    <col min="3328" max="3328" width="11.7109375" style="389" customWidth="1"/>
    <col min="3329" max="3329" width="12" style="389" bestFit="1" customWidth="1"/>
    <col min="3330" max="3330" width="14.85546875" style="389" customWidth="1"/>
    <col min="3331" max="3333" width="12" style="389" bestFit="1" customWidth="1"/>
    <col min="3334" max="3582" width="9.140625" style="389"/>
    <col min="3583" max="3583" width="27.140625" style="389" customWidth="1"/>
    <col min="3584" max="3584" width="11.7109375" style="389" customWidth="1"/>
    <col min="3585" max="3585" width="12" style="389" bestFit="1" customWidth="1"/>
    <col min="3586" max="3586" width="14.85546875" style="389" customWidth="1"/>
    <col min="3587" max="3589" width="12" style="389" bestFit="1" customWidth="1"/>
    <col min="3590" max="3838" width="9.140625" style="389"/>
    <col min="3839" max="3839" width="27.140625" style="389" customWidth="1"/>
    <col min="3840" max="3840" width="11.7109375" style="389" customWidth="1"/>
    <col min="3841" max="3841" width="12" style="389" bestFit="1" customWidth="1"/>
    <col min="3842" max="3842" width="14.85546875" style="389" customWidth="1"/>
    <col min="3843" max="3845" width="12" style="389" bestFit="1" customWidth="1"/>
    <col min="3846" max="4094" width="9.140625" style="389"/>
    <col min="4095" max="4095" width="27.140625" style="389" customWidth="1"/>
    <col min="4096" max="4096" width="11.7109375" style="389" customWidth="1"/>
    <col min="4097" max="4097" width="12" style="389" bestFit="1" customWidth="1"/>
    <col min="4098" max="4098" width="14.85546875" style="389" customWidth="1"/>
    <col min="4099" max="4101" width="12" style="389" bestFit="1" customWidth="1"/>
    <col min="4102" max="4350" width="9.140625" style="389"/>
    <col min="4351" max="4351" width="27.140625" style="389" customWidth="1"/>
    <col min="4352" max="4352" width="11.7109375" style="389" customWidth="1"/>
    <col min="4353" max="4353" width="12" style="389" bestFit="1" customWidth="1"/>
    <col min="4354" max="4354" width="14.85546875" style="389" customWidth="1"/>
    <col min="4355" max="4357" width="12" style="389" bestFit="1" customWidth="1"/>
    <col min="4358" max="4606" width="9.140625" style="389"/>
    <col min="4607" max="4607" width="27.140625" style="389" customWidth="1"/>
    <col min="4608" max="4608" width="11.7109375" style="389" customWidth="1"/>
    <col min="4609" max="4609" width="12" style="389" bestFit="1" customWidth="1"/>
    <col min="4610" max="4610" width="14.85546875" style="389" customWidth="1"/>
    <col min="4611" max="4613" width="12" style="389" bestFit="1" customWidth="1"/>
    <col min="4614" max="4862" width="9.140625" style="389"/>
    <col min="4863" max="4863" width="27.140625" style="389" customWidth="1"/>
    <col min="4864" max="4864" width="11.7109375" style="389" customWidth="1"/>
    <col min="4865" max="4865" width="12" style="389" bestFit="1" customWidth="1"/>
    <col min="4866" max="4866" width="14.85546875" style="389" customWidth="1"/>
    <col min="4867" max="4869" width="12" style="389" bestFit="1" customWidth="1"/>
    <col min="4870" max="5118" width="9.140625" style="389"/>
    <col min="5119" max="5119" width="27.140625" style="389" customWidth="1"/>
    <col min="5120" max="5120" width="11.7109375" style="389" customWidth="1"/>
    <col min="5121" max="5121" width="12" style="389" bestFit="1" customWidth="1"/>
    <col min="5122" max="5122" width="14.85546875" style="389" customWidth="1"/>
    <col min="5123" max="5125" width="12" style="389" bestFit="1" customWidth="1"/>
    <col min="5126" max="5374" width="9.140625" style="389"/>
    <col min="5375" max="5375" width="27.140625" style="389" customWidth="1"/>
    <col min="5376" max="5376" width="11.7109375" style="389" customWidth="1"/>
    <col min="5377" max="5377" width="12" style="389" bestFit="1" customWidth="1"/>
    <col min="5378" max="5378" width="14.85546875" style="389" customWidth="1"/>
    <col min="5379" max="5381" width="12" style="389" bestFit="1" customWidth="1"/>
    <col min="5382" max="5630" width="9.140625" style="389"/>
    <col min="5631" max="5631" width="27.140625" style="389" customWidth="1"/>
    <col min="5632" max="5632" width="11.7109375" style="389" customWidth="1"/>
    <col min="5633" max="5633" width="12" style="389" bestFit="1" customWidth="1"/>
    <col min="5634" max="5634" width="14.85546875" style="389" customWidth="1"/>
    <col min="5635" max="5637" width="12" style="389" bestFit="1" customWidth="1"/>
    <col min="5638" max="5886" width="9.140625" style="389"/>
    <col min="5887" max="5887" width="27.140625" style="389" customWidth="1"/>
    <col min="5888" max="5888" width="11.7109375" style="389" customWidth="1"/>
    <col min="5889" max="5889" width="12" style="389" bestFit="1" customWidth="1"/>
    <col min="5890" max="5890" width="14.85546875" style="389" customWidth="1"/>
    <col min="5891" max="5893" width="12" style="389" bestFit="1" customWidth="1"/>
    <col min="5894" max="6142" width="9.140625" style="389"/>
    <col min="6143" max="6143" width="27.140625" style="389" customWidth="1"/>
    <col min="6144" max="6144" width="11.7109375" style="389" customWidth="1"/>
    <col min="6145" max="6145" width="12" style="389" bestFit="1" customWidth="1"/>
    <col min="6146" max="6146" width="14.85546875" style="389" customWidth="1"/>
    <col min="6147" max="6149" width="12" style="389" bestFit="1" customWidth="1"/>
    <col min="6150" max="6398" width="9.140625" style="389"/>
    <col min="6399" max="6399" width="27.140625" style="389" customWidth="1"/>
    <col min="6400" max="6400" width="11.7109375" style="389" customWidth="1"/>
    <col min="6401" max="6401" width="12" style="389" bestFit="1" customWidth="1"/>
    <col min="6402" max="6402" width="14.85546875" style="389" customWidth="1"/>
    <col min="6403" max="6405" width="12" style="389" bestFit="1" customWidth="1"/>
    <col min="6406" max="6654" width="9.140625" style="389"/>
    <col min="6655" max="6655" width="27.140625" style="389" customWidth="1"/>
    <col min="6656" max="6656" width="11.7109375" style="389" customWidth="1"/>
    <col min="6657" max="6657" width="12" style="389" bestFit="1" customWidth="1"/>
    <col min="6658" max="6658" width="14.85546875" style="389" customWidth="1"/>
    <col min="6659" max="6661" width="12" style="389" bestFit="1" customWidth="1"/>
    <col min="6662" max="6910" width="9.140625" style="389"/>
    <col min="6911" max="6911" width="27.140625" style="389" customWidth="1"/>
    <col min="6912" max="6912" width="11.7109375" style="389" customWidth="1"/>
    <col min="6913" max="6913" width="12" style="389" bestFit="1" customWidth="1"/>
    <col min="6914" max="6914" width="14.85546875" style="389" customWidth="1"/>
    <col min="6915" max="6917" width="12" style="389" bestFit="1" customWidth="1"/>
    <col min="6918" max="7166" width="9.140625" style="389"/>
    <col min="7167" max="7167" width="27.140625" style="389" customWidth="1"/>
    <col min="7168" max="7168" width="11.7109375" style="389" customWidth="1"/>
    <col min="7169" max="7169" width="12" style="389" bestFit="1" customWidth="1"/>
    <col min="7170" max="7170" width="14.85546875" style="389" customWidth="1"/>
    <col min="7171" max="7173" width="12" style="389" bestFit="1" customWidth="1"/>
    <col min="7174" max="7422" width="9.140625" style="389"/>
    <col min="7423" max="7423" width="27.140625" style="389" customWidth="1"/>
    <col min="7424" max="7424" width="11.7109375" style="389" customWidth="1"/>
    <col min="7425" max="7425" width="12" style="389" bestFit="1" customWidth="1"/>
    <col min="7426" max="7426" width="14.85546875" style="389" customWidth="1"/>
    <col min="7427" max="7429" width="12" style="389" bestFit="1" customWidth="1"/>
    <col min="7430" max="7678" width="9.140625" style="389"/>
    <col min="7679" max="7679" width="27.140625" style="389" customWidth="1"/>
    <col min="7680" max="7680" width="11.7109375" style="389" customWidth="1"/>
    <col min="7681" max="7681" width="12" style="389" bestFit="1" customWidth="1"/>
    <col min="7682" max="7682" width="14.85546875" style="389" customWidth="1"/>
    <col min="7683" max="7685" width="12" style="389" bestFit="1" customWidth="1"/>
    <col min="7686" max="7934" width="9.140625" style="389"/>
    <col min="7935" max="7935" width="27.140625" style="389" customWidth="1"/>
    <col min="7936" max="7936" width="11.7109375" style="389" customWidth="1"/>
    <col min="7937" max="7937" width="12" style="389" bestFit="1" customWidth="1"/>
    <col min="7938" max="7938" width="14.85546875" style="389" customWidth="1"/>
    <col min="7939" max="7941" width="12" style="389" bestFit="1" customWidth="1"/>
    <col min="7942" max="8190" width="9.140625" style="389"/>
    <col min="8191" max="8191" width="27.140625" style="389" customWidth="1"/>
    <col min="8192" max="8192" width="11.7109375" style="389" customWidth="1"/>
    <col min="8193" max="8193" width="12" style="389" bestFit="1" customWidth="1"/>
    <col min="8194" max="8194" width="14.85546875" style="389" customWidth="1"/>
    <col min="8195" max="8197" width="12" style="389" bestFit="1" customWidth="1"/>
    <col min="8198" max="8446" width="9.140625" style="389"/>
    <col min="8447" max="8447" width="27.140625" style="389" customWidth="1"/>
    <col min="8448" max="8448" width="11.7109375" style="389" customWidth="1"/>
    <col min="8449" max="8449" width="12" style="389" bestFit="1" customWidth="1"/>
    <col min="8450" max="8450" width="14.85546875" style="389" customWidth="1"/>
    <col min="8451" max="8453" width="12" style="389" bestFit="1" customWidth="1"/>
    <col min="8454" max="8702" width="9.140625" style="389"/>
    <col min="8703" max="8703" width="27.140625" style="389" customWidth="1"/>
    <col min="8704" max="8704" width="11.7109375" style="389" customWidth="1"/>
    <col min="8705" max="8705" width="12" style="389" bestFit="1" customWidth="1"/>
    <col min="8706" max="8706" width="14.85546875" style="389" customWidth="1"/>
    <col min="8707" max="8709" width="12" style="389" bestFit="1" customWidth="1"/>
    <col min="8710" max="8958" width="9.140625" style="389"/>
    <col min="8959" max="8959" width="27.140625" style="389" customWidth="1"/>
    <col min="8960" max="8960" width="11.7109375" style="389" customWidth="1"/>
    <col min="8961" max="8961" width="12" style="389" bestFit="1" customWidth="1"/>
    <col min="8962" max="8962" width="14.85546875" style="389" customWidth="1"/>
    <col min="8963" max="8965" width="12" style="389" bestFit="1" customWidth="1"/>
    <col min="8966" max="9214" width="9.140625" style="389"/>
    <col min="9215" max="9215" width="27.140625" style="389" customWidth="1"/>
    <col min="9216" max="9216" width="11.7109375" style="389" customWidth="1"/>
    <col min="9217" max="9217" width="12" style="389" bestFit="1" customWidth="1"/>
    <col min="9218" max="9218" width="14.85546875" style="389" customWidth="1"/>
    <col min="9219" max="9221" width="12" style="389" bestFit="1" customWidth="1"/>
    <col min="9222" max="9470" width="9.140625" style="389"/>
    <col min="9471" max="9471" width="27.140625" style="389" customWidth="1"/>
    <col min="9472" max="9472" width="11.7109375" style="389" customWidth="1"/>
    <col min="9473" max="9473" width="12" style="389" bestFit="1" customWidth="1"/>
    <col min="9474" max="9474" width="14.85546875" style="389" customWidth="1"/>
    <col min="9475" max="9477" width="12" style="389" bestFit="1" customWidth="1"/>
    <col min="9478" max="9726" width="9.140625" style="389"/>
    <col min="9727" max="9727" width="27.140625" style="389" customWidth="1"/>
    <col min="9728" max="9728" width="11.7109375" style="389" customWidth="1"/>
    <col min="9729" max="9729" width="12" style="389" bestFit="1" customWidth="1"/>
    <col min="9730" max="9730" width="14.85546875" style="389" customWidth="1"/>
    <col min="9731" max="9733" width="12" style="389" bestFit="1" customWidth="1"/>
    <col min="9734" max="9982" width="9.140625" style="389"/>
    <col min="9983" max="9983" width="27.140625" style="389" customWidth="1"/>
    <col min="9984" max="9984" width="11.7109375" style="389" customWidth="1"/>
    <col min="9985" max="9985" width="12" style="389" bestFit="1" customWidth="1"/>
    <col min="9986" max="9986" width="14.85546875" style="389" customWidth="1"/>
    <col min="9987" max="9989" width="12" style="389" bestFit="1" customWidth="1"/>
    <col min="9990" max="10238" width="9.140625" style="389"/>
    <col min="10239" max="10239" width="27.140625" style="389" customWidth="1"/>
    <col min="10240" max="10240" width="11.7109375" style="389" customWidth="1"/>
    <col min="10241" max="10241" width="12" style="389" bestFit="1" customWidth="1"/>
    <col min="10242" max="10242" width="14.85546875" style="389" customWidth="1"/>
    <col min="10243" max="10245" width="12" style="389" bestFit="1" customWidth="1"/>
    <col min="10246" max="10494" width="9.140625" style="389"/>
    <col min="10495" max="10495" width="27.140625" style="389" customWidth="1"/>
    <col min="10496" max="10496" width="11.7109375" style="389" customWidth="1"/>
    <col min="10497" max="10497" width="12" style="389" bestFit="1" customWidth="1"/>
    <col min="10498" max="10498" width="14.85546875" style="389" customWidth="1"/>
    <col min="10499" max="10501" width="12" style="389" bestFit="1" customWidth="1"/>
    <col min="10502" max="10750" width="9.140625" style="389"/>
    <col min="10751" max="10751" width="27.140625" style="389" customWidth="1"/>
    <col min="10752" max="10752" width="11.7109375" style="389" customWidth="1"/>
    <col min="10753" max="10753" width="12" style="389" bestFit="1" customWidth="1"/>
    <col min="10754" max="10754" width="14.85546875" style="389" customWidth="1"/>
    <col min="10755" max="10757" width="12" style="389" bestFit="1" customWidth="1"/>
    <col min="10758" max="11006" width="9.140625" style="389"/>
    <col min="11007" max="11007" width="27.140625" style="389" customWidth="1"/>
    <col min="11008" max="11008" width="11.7109375" style="389" customWidth="1"/>
    <col min="11009" max="11009" width="12" style="389" bestFit="1" customWidth="1"/>
    <col min="11010" max="11010" width="14.85546875" style="389" customWidth="1"/>
    <col min="11011" max="11013" width="12" style="389" bestFit="1" customWidth="1"/>
    <col min="11014" max="11262" width="9.140625" style="389"/>
    <col min="11263" max="11263" width="27.140625" style="389" customWidth="1"/>
    <col min="11264" max="11264" width="11.7109375" style="389" customWidth="1"/>
    <col min="11265" max="11265" width="12" style="389" bestFit="1" customWidth="1"/>
    <col min="11266" max="11266" width="14.85546875" style="389" customWidth="1"/>
    <col min="11267" max="11269" width="12" style="389" bestFit="1" customWidth="1"/>
    <col min="11270" max="11518" width="9.140625" style="389"/>
    <col min="11519" max="11519" width="27.140625" style="389" customWidth="1"/>
    <col min="11520" max="11520" width="11.7109375" style="389" customWidth="1"/>
    <col min="11521" max="11521" width="12" style="389" bestFit="1" customWidth="1"/>
    <col min="11522" max="11522" width="14.85546875" style="389" customWidth="1"/>
    <col min="11523" max="11525" width="12" style="389" bestFit="1" customWidth="1"/>
    <col min="11526" max="11774" width="9.140625" style="389"/>
    <col min="11775" max="11775" width="27.140625" style="389" customWidth="1"/>
    <col min="11776" max="11776" width="11.7109375" style="389" customWidth="1"/>
    <col min="11777" max="11777" width="12" style="389" bestFit="1" customWidth="1"/>
    <col min="11778" max="11778" width="14.85546875" style="389" customWidth="1"/>
    <col min="11779" max="11781" width="12" style="389" bestFit="1" customWidth="1"/>
    <col min="11782" max="12030" width="9.140625" style="389"/>
    <col min="12031" max="12031" width="27.140625" style="389" customWidth="1"/>
    <col min="12032" max="12032" width="11.7109375" style="389" customWidth="1"/>
    <col min="12033" max="12033" width="12" style="389" bestFit="1" customWidth="1"/>
    <col min="12034" max="12034" width="14.85546875" style="389" customWidth="1"/>
    <col min="12035" max="12037" width="12" style="389" bestFit="1" customWidth="1"/>
    <col min="12038" max="12286" width="9.140625" style="389"/>
    <col min="12287" max="12287" width="27.140625" style="389" customWidth="1"/>
    <col min="12288" max="12288" width="11.7109375" style="389" customWidth="1"/>
    <col min="12289" max="12289" width="12" style="389" bestFit="1" customWidth="1"/>
    <col min="12290" max="12290" width="14.85546875" style="389" customWidth="1"/>
    <col min="12291" max="12293" width="12" style="389" bestFit="1" customWidth="1"/>
    <col min="12294" max="12542" width="9.140625" style="389"/>
    <col min="12543" max="12543" width="27.140625" style="389" customWidth="1"/>
    <col min="12544" max="12544" width="11.7109375" style="389" customWidth="1"/>
    <col min="12545" max="12545" width="12" style="389" bestFit="1" customWidth="1"/>
    <col min="12546" max="12546" width="14.85546875" style="389" customWidth="1"/>
    <col min="12547" max="12549" width="12" style="389" bestFit="1" customWidth="1"/>
    <col min="12550" max="12798" width="9.140625" style="389"/>
    <col min="12799" max="12799" width="27.140625" style="389" customWidth="1"/>
    <col min="12800" max="12800" width="11.7109375" style="389" customWidth="1"/>
    <col min="12801" max="12801" width="12" style="389" bestFit="1" customWidth="1"/>
    <col min="12802" max="12802" width="14.85546875" style="389" customWidth="1"/>
    <col min="12803" max="12805" width="12" style="389" bestFit="1" customWidth="1"/>
    <col min="12806" max="13054" width="9.140625" style="389"/>
    <col min="13055" max="13055" width="27.140625" style="389" customWidth="1"/>
    <col min="13056" max="13056" width="11.7109375" style="389" customWidth="1"/>
    <col min="13057" max="13057" width="12" style="389" bestFit="1" customWidth="1"/>
    <col min="13058" max="13058" width="14.85546875" style="389" customWidth="1"/>
    <col min="13059" max="13061" width="12" style="389" bestFit="1" customWidth="1"/>
    <col min="13062" max="13310" width="9.140625" style="389"/>
    <col min="13311" max="13311" width="27.140625" style="389" customWidth="1"/>
    <col min="13312" max="13312" width="11.7109375" style="389" customWidth="1"/>
    <col min="13313" max="13313" width="12" style="389" bestFit="1" customWidth="1"/>
    <col min="13314" max="13314" width="14.85546875" style="389" customWidth="1"/>
    <col min="13315" max="13317" width="12" style="389" bestFit="1" customWidth="1"/>
    <col min="13318" max="13566" width="9.140625" style="389"/>
    <col min="13567" max="13567" width="27.140625" style="389" customWidth="1"/>
    <col min="13568" max="13568" width="11.7109375" style="389" customWidth="1"/>
    <col min="13569" max="13569" width="12" style="389" bestFit="1" customWidth="1"/>
    <col min="13570" max="13570" width="14.85546875" style="389" customWidth="1"/>
    <col min="13571" max="13573" width="12" style="389" bestFit="1" customWidth="1"/>
    <col min="13574" max="13822" width="9.140625" style="389"/>
    <col min="13823" max="13823" width="27.140625" style="389" customWidth="1"/>
    <col min="13824" max="13824" width="11.7109375" style="389" customWidth="1"/>
    <col min="13825" max="13825" width="12" style="389" bestFit="1" customWidth="1"/>
    <col min="13826" max="13826" width="14.85546875" style="389" customWidth="1"/>
    <col min="13827" max="13829" width="12" style="389" bestFit="1" customWidth="1"/>
    <col min="13830" max="14078" width="9.140625" style="389"/>
    <col min="14079" max="14079" width="27.140625" style="389" customWidth="1"/>
    <col min="14080" max="14080" width="11.7109375" style="389" customWidth="1"/>
    <col min="14081" max="14081" width="12" style="389" bestFit="1" customWidth="1"/>
    <col min="14082" max="14082" width="14.85546875" style="389" customWidth="1"/>
    <col min="14083" max="14085" width="12" style="389" bestFit="1" customWidth="1"/>
    <col min="14086" max="14334" width="9.140625" style="389"/>
    <col min="14335" max="14335" width="27.140625" style="389" customWidth="1"/>
    <col min="14336" max="14336" width="11.7109375" style="389" customWidth="1"/>
    <col min="14337" max="14337" width="12" style="389" bestFit="1" customWidth="1"/>
    <col min="14338" max="14338" width="14.85546875" style="389" customWidth="1"/>
    <col min="14339" max="14341" width="12" style="389" bestFit="1" customWidth="1"/>
    <col min="14342" max="14590" width="9.140625" style="389"/>
    <col min="14591" max="14591" width="27.140625" style="389" customWidth="1"/>
    <col min="14592" max="14592" width="11.7109375" style="389" customWidth="1"/>
    <col min="14593" max="14593" width="12" style="389" bestFit="1" customWidth="1"/>
    <col min="14594" max="14594" width="14.85546875" style="389" customWidth="1"/>
    <col min="14595" max="14597" width="12" style="389" bestFit="1" customWidth="1"/>
    <col min="14598" max="14846" width="9.140625" style="389"/>
    <col min="14847" max="14847" width="27.140625" style="389" customWidth="1"/>
    <col min="14848" max="14848" width="11.7109375" style="389" customWidth="1"/>
    <col min="14849" max="14849" width="12" style="389" bestFit="1" customWidth="1"/>
    <col min="14850" max="14850" width="14.85546875" style="389" customWidth="1"/>
    <col min="14851" max="14853" width="12" style="389" bestFit="1" customWidth="1"/>
    <col min="14854" max="15102" width="9.140625" style="389"/>
    <col min="15103" max="15103" width="27.140625" style="389" customWidth="1"/>
    <col min="15104" max="15104" width="11.7109375" style="389" customWidth="1"/>
    <col min="15105" max="15105" width="12" style="389" bestFit="1" customWidth="1"/>
    <col min="15106" max="15106" width="14.85546875" style="389" customWidth="1"/>
    <col min="15107" max="15109" width="12" style="389" bestFit="1" customWidth="1"/>
    <col min="15110" max="15358" width="9.140625" style="389"/>
    <col min="15359" max="15359" width="27.140625" style="389" customWidth="1"/>
    <col min="15360" max="15360" width="11.7109375" style="389" customWidth="1"/>
    <col min="15361" max="15361" width="12" style="389" bestFit="1" customWidth="1"/>
    <col min="15362" max="15362" width="14.85546875" style="389" customWidth="1"/>
    <col min="15363" max="15365" width="12" style="389" bestFit="1" customWidth="1"/>
    <col min="15366" max="15614" width="9.140625" style="389"/>
    <col min="15615" max="15615" width="27.140625" style="389" customWidth="1"/>
    <col min="15616" max="15616" width="11.7109375" style="389" customWidth="1"/>
    <col min="15617" max="15617" width="12" style="389" bestFit="1" customWidth="1"/>
    <col min="15618" max="15618" width="14.85546875" style="389" customWidth="1"/>
    <col min="15619" max="15621" width="12" style="389" bestFit="1" customWidth="1"/>
    <col min="15622" max="15870" width="9.140625" style="389"/>
    <col min="15871" max="15871" width="27.140625" style="389" customWidth="1"/>
    <col min="15872" max="15872" width="11.7109375" style="389" customWidth="1"/>
    <col min="15873" max="15873" width="12" style="389" bestFit="1" customWidth="1"/>
    <col min="15874" max="15874" width="14.85546875" style="389" customWidth="1"/>
    <col min="15875" max="15877" width="12" style="389" bestFit="1" customWidth="1"/>
    <col min="15878" max="16126" width="9.140625" style="389"/>
    <col min="16127" max="16127" width="27.140625" style="389" customWidth="1"/>
    <col min="16128" max="16128" width="11.7109375" style="389" customWidth="1"/>
    <col min="16129" max="16129" width="12" style="389" bestFit="1" customWidth="1"/>
    <col min="16130" max="16130" width="14.85546875" style="389" customWidth="1"/>
    <col min="16131" max="16133" width="12" style="389" bestFit="1" customWidth="1"/>
    <col min="16134" max="16384" width="9.140625" style="389"/>
  </cols>
  <sheetData>
    <row r="1" spans="1:8">
      <c r="A1" s="402" t="s">
        <v>1158</v>
      </c>
      <c r="B1" s="402"/>
      <c r="C1" s="402"/>
      <c r="D1" s="402"/>
      <c r="E1" s="402"/>
      <c r="F1" s="392"/>
    </row>
    <row r="2" spans="1:8">
      <c r="A2" s="402"/>
      <c r="B2" s="402"/>
      <c r="C2" s="402"/>
      <c r="E2" s="402"/>
      <c r="F2" s="392"/>
    </row>
    <row r="3" spans="1:8">
      <c r="A3" s="402" t="s">
        <v>1049</v>
      </c>
      <c r="B3" s="402"/>
      <c r="C3" s="402"/>
      <c r="D3" s="402"/>
      <c r="E3" s="402" t="s">
        <v>908</v>
      </c>
      <c r="F3" s="392"/>
    </row>
    <row r="4" spans="1:8">
      <c r="A4" s="402"/>
      <c r="B4" s="402"/>
      <c r="C4" s="402"/>
      <c r="D4" s="402"/>
      <c r="E4" s="402"/>
      <c r="F4" s="392"/>
    </row>
    <row r="5" spans="1:8">
      <c r="A5" s="2014" t="s">
        <v>623</v>
      </c>
      <c r="B5" s="2014" t="s">
        <v>1028</v>
      </c>
      <c r="C5" s="1845" t="s">
        <v>648</v>
      </c>
      <c r="D5" s="391" t="s">
        <v>649</v>
      </c>
      <c r="E5" s="2216" t="s">
        <v>1848</v>
      </c>
      <c r="F5" s="2217"/>
      <c r="G5" s="2218"/>
    </row>
    <row r="6" spans="1:8">
      <c r="A6" s="2215"/>
      <c r="B6" s="2215"/>
      <c r="C6" s="1845"/>
      <c r="D6" s="390" t="s">
        <v>1050</v>
      </c>
      <c r="E6" s="2219"/>
      <c r="F6" s="2220"/>
      <c r="G6" s="2221"/>
    </row>
    <row r="7" spans="1:8" ht="19.5" customHeight="1">
      <c r="A7" s="1844"/>
      <c r="B7" s="1844"/>
      <c r="C7" s="599" t="s">
        <v>1108</v>
      </c>
      <c r="D7" s="391" t="s">
        <v>1173</v>
      </c>
      <c r="E7" s="413" t="s">
        <v>1108</v>
      </c>
      <c r="F7" s="413" t="s">
        <v>2261</v>
      </c>
      <c r="G7" s="413" t="s">
        <v>2262</v>
      </c>
    </row>
    <row r="8" spans="1:8">
      <c r="A8" s="391">
        <v>1</v>
      </c>
      <c r="B8" s="391">
        <v>2</v>
      </c>
      <c r="C8" s="391">
        <v>4</v>
      </c>
      <c r="D8" s="391">
        <v>5</v>
      </c>
      <c r="E8" s="391">
        <v>6</v>
      </c>
      <c r="F8" s="391">
        <v>7</v>
      </c>
      <c r="G8" s="391">
        <v>8</v>
      </c>
    </row>
    <row r="9" spans="1:8">
      <c r="A9" s="391">
        <v>1</v>
      </c>
      <c r="B9" s="391" t="s">
        <v>1051</v>
      </c>
      <c r="C9" s="1372">
        <f>'F14-3'!C27</f>
        <v>2334</v>
      </c>
      <c r="D9" s="1372">
        <f>'F14-3'!D27</f>
        <v>2333</v>
      </c>
      <c r="E9" s="1372">
        <f>'F14-3'!E27</f>
        <v>2298</v>
      </c>
      <c r="F9" s="1372">
        <f>'F14-3'!F27</f>
        <v>2284</v>
      </c>
      <c r="G9" s="1372">
        <f>'F14-3'!G27</f>
        <v>2263</v>
      </c>
    </row>
    <row r="10" spans="1:8">
      <c r="A10" s="391">
        <v>2</v>
      </c>
      <c r="B10" s="391" t="s">
        <v>650</v>
      </c>
      <c r="C10" s="1373">
        <f>'F14-1'!E25</f>
        <v>146</v>
      </c>
      <c r="D10" s="1373">
        <f>'F14-1'!I25</f>
        <v>148</v>
      </c>
      <c r="E10" s="1373">
        <f>'F14-1'!J25</f>
        <v>152</v>
      </c>
      <c r="F10" s="1373">
        <f>'F14-1'!K25</f>
        <v>157</v>
      </c>
      <c r="G10" s="1373">
        <f>'F14-1'!L25</f>
        <v>165</v>
      </c>
    </row>
    <row r="11" spans="1:8" ht="31.5">
      <c r="A11" s="391">
        <v>3</v>
      </c>
      <c r="B11" s="390" t="s">
        <v>2741</v>
      </c>
      <c r="C11" s="659">
        <v>23110</v>
      </c>
      <c r="D11" s="659">
        <f>23880+400</f>
        <v>24280</v>
      </c>
      <c r="E11" s="659">
        <f>D11*(1+5%)</f>
        <v>25494</v>
      </c>
      <c r="F11" s="659">
        <f t="shared" ref="F11:G11" si="0">E11*(1+5%)</f>
        <v>26768.7</v>
      </c>
      <c r="G11" s="659">
        <f t="shared" si="0"/>
        <v>28107.135000000002</v>
      </c>
      <c r="H11" s="1147"/>
    </row>
    <row r="12" spans="1:8" ht="31.5">
      <c r="A12" s="391">
        <v>4</v>
      </c>
      <c r="B12" s="390" t="s">
        <v>2742</v>
      </c>
      <c r="C12" s="533">
        <f>'F14-1'!E23</f>
        <v>15083.97</v>
      </c>
      <c r="D12" s="533">
        <f>'F14-1'!I23</f>
        <v>16069.91</v>
      </c>
      <c r="E12" s="533">
        <f>'F14-1'!J23</f>
        <v>17285.060000000001</v>
      </c>
      <c r="F12" s="533">
        <f>'F14-1'!K23</f>
        <v>18478.190000000002</v>
      </c>
      <c r="G12" s="533">
        <f>'F14-1'!L23</f>
        <v>19849.72</v>
      </c>
      <c r="H12" s="1147"/>
    </row>
    <row r="13" spans="1:8" ht="31.5">
      <c r="A13" s="391">
        <v>5</v>
      </c>
      <c r="B13" s="390" t="s">
        <v>1052</v>
      </c>
      <c r="C13" s="659">
        <f>'P1'!D32/10^6</f>
        <v>34005.484563999998</v>
      </c>
      <c r="D13" s="659">
        <f>C13*(1+5%)</f>
        <v>35705.758792200002</v>
      </c>
      <c r="E13" s="659">
        <f>D13*(1+5%)</f>
        <v>37491.046731810005</v>
      </c>
      <c r="F13" s="659">
        <f t="shared" ref="F13:G13" si="1">E13*(1+5%)</f>
        <v>39365.599068400508</v>
      </c>
      <c r="G13" s="659">
        <f t="shared" si="1"/>
        <v>41333.879021820532</v>
      </c>
      <c r="H13" s="1147"/>
    </row>
    <row r="14" spans="1:8" ht="31.5">
      <c r="A14" s="391">
        <v>6</v>
      </c>
      <c r="B14" s="390" t="s">
        <v>1053</v>
      </c>
      <c r="C14" s="431">
        <f>C13/C9</f>
        <v>14.569616351328191</v>
      </c>
      <c r="D14" s="431">
        <f>D13/D9</f>
        <v>15.304654433004716</v>
      </c>
      <c r="E14" s="431">
        <f>E13/E9</f>
        <v>16.314641745783291</v>
      </c>
      <c r="F14" s="431">
        <f t="shared" ref="F14:G14" si="2">F13/F9</f>
        <v>17.235376124518613</v>
      </c>
      <c r="G14" s="431">
        <f t="shared" si="2"/>
        <v>18.265081317640536</v>
      </c>
    </row>
    <row r="15" spans="1:8">
      <c r="A15" s="391">
        <v>7</v>
      </c>
      <c r="B15" s="390" t="s">
        <v>1054</v>
      </c>
      <c r="C15" s="446">
        <f>'F14-1'!E37</f>
        <v>181.00853521921925</v>
      </c>
      <c r="D15" s="446">
        <f>'F14-1'!I37</f>
        <v>200.07128251266437</v>
      </c>
      <c r="E15" s="446">
        <f>'F14-1'!J37</f>
        <v>226.22857750689752</v>
      </c>
      <c r="F15" s="446">
        <f>'F14-1'!K37</f>
        <v>252.64190648925509</v>
      </c>
      <c r="G15" s="446">
        <f>'F14-1'!L37</f>
        <v>285.05993943634553</v>
      </c>
    </row>
    <row r="16" spans="1:8" ht="31.5">
      <c r="A16" s="391">
        <v>8</v>
      </c>
      <c r="B16" s="390" t="s">
        <v>1055</v>
      </c>
      <c r="C16" s="1148">
        <f>C15/C13</f>
        <v>5.3229218033506408E-3</v>
      </c>
      <c r="D16" s="1148">
        <f t="shared" ref="D16:E16" si="3">D15/D13</f>
        <v>5.6033337276778549E-3</v>
      </c>
      <c r="E16" s="1148">
        <f t="shared" si="3"/>
        <v>6.0342027557995469E-3</v>
      </c>
      <c r="F16" s="1148">
        <f t="shared" ref="F16:G16" si="4">F15/F13</f>
        <v>6.4178346695619171E-3</v>
      </c>
      <c r="G16" s="1148">
        <f t="shared" si="4"/>
        <v>6.8965203891427603E-3</v>
      </c>
    </row>
    <row r="17" spans="1:6">
      <c r="A17" s="392"/>
      <c r="B17" s="392"/>
      <c r="C17" s="392"/>
      <c r="D17" s="392"/>
      <c r="E17" s="392"/>
      <c r="F17" s="392"/>
    </row>
    <row r="18" spans="1:6">
      <c r="A18" s="392"/>
      <c r="B18" s="392"/>
      <c r="C18" s="392"/>
      <c r="D18" s="392"/>
      <c r="E18" s="392"/>
      <c r="F18" s="392"/>
    </row>
    <row r="19" spans="1:6">
      <c r="A19" s="392"/>
      <c r="B19" s="392"/>
      <c r="C19" s="2181" t="s">
        <v>401</v>
      </c>
      <c r="D19" s="2181"/>
      <c r="E19" s="2182"/>
      <c r="F19" s="392"/>
    </row>
    <row r="20" spans="1:6">
      <c r="A20" s="392"/>
      <c r="B20" s="392"/>
      <c r="C20" s="392"/>
      <c r="D20" s="392"/>
      <c r="E20" s="392"/>
      <c r="F20" s="392"/>
    </row>
    <row r="21" spans="1:6">
      <c r="A21" s="392"/>
      <c r="B21" s="392"/>
      <c r="C21" s="392"/>
      <c r="D21" s="1513"/>
      <c r="E21" s="392"/>
      <c r="F21" s="392"/>
    </row>
  </sheetData>
  <mergeCells count="5">
    <mergeCell ref="C19:E19"/>
    <mergeCell ref="C5:C6"/>
    <mergeCell ref="A5:A7"/>
    <mergeCell ref="B5:B7"/>
    <mergeCell ref="E5:G6"/>
  </mergeCells>
  <phoneticPr fontId="205" type="noConversion"/>
  <pageMargins left="0.7" right="0.7" top="0.75" bottom="0.75" header="0.3" footer="0.3"/>
  <pageSetup paperSize="9" scale="65"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92D050"/>
    <pageSetUpPr fitToPage="1"/>
  </sheetPr>
  <dimension ref="A1:I41"/>
  <sheetViews>
    <sheetView showGridLines="0" view="pageBreakPreview" zoomScale="70" zoomScaleNormal="100" zoomScaleSheetLayoutView="70" workbookViewId="0">
      <selection activeCell="D11" sqref="D11"/>
    </sheetView>
  </sheetViews>
  <sheetFormatPr defaultColWidth="9.140625" defaultRowHeight="15.75"/>
  <cols>
    <col min="1" max="1" width="4.7109375" style="74" customWidth="1"/>
    <col min="2" max="2" width="45.5703125" style="74" bestFit="1" customWidth="1"/>
    <col min="3" max="4" width="18.140625" style="74" customWidth="1"/>
    <col min="5" max="6" width="18.5703125" style="74" customWidth="1"/>
    <col min="7" max="7" width="18.5703125" style="809" customWidth="1"/>
    <col min="8" max="9" width="16.28515625" style="74" customWidth="1"/>
    <col min="10" max="16384" width="9.140625" style="74"/>
  </cols>
  <sheetData>
    <row r="1" spans="1:9" ht="21" customHeight="1">
      <c r="A1" s="1980" t="s">
        <v>1158</v>
      </c>
      <c r="B1" s="1980"/>
      <c r="C1" s="1980"/>
      <c r="D1" s="1980"/>
      <c r="E1" s="1980"/>
      <c r="F1" s="1980"/>
      <c r="G1" s="806"/>
    </row>
    <row r="2" spans="1:9" ht="21" customHeight="1">
      <c r="A2" s="1815" t="s">
        <v>25</v>
      </c>
      <c r="B2" s="1815"/>
      <c r="C2" s="490"/>
      <c r="D2" s="490"/>
      <c r="E2" s="490"/>
      <c r="F2" s="612"/>
      <c r="G2" s="807"/>
      <c r="H2" s="1987" t="s">
        <v>745</v>
      </c>
      <c r="I2" s="1987"/>
    </row>
    <row r="3" spans="1:9" ht="21" customHeight="1">
      <c r="A3" s="491"/>
      <c r="B3" s="491"/>
      <c r="C3" s="491"/>
      <c r="D3" s="491"/>
      <c r="E3" s="491"/>
      <c r="F3" s="611"/>
      <c r="G3" s="808"/>
    </row>
    <row r="4" spans="1:9" ht="30.75" customHeight="1">
      <c r="A4" s="2226"/>
      <c r="B4" s="2228" t="s">
        <v>48</v>
      </c>
      <c r="C4" s="1820" t="s">
        <v>1846</v>
      </c>
      <c r="D4" s="1820"/>
      <c r="E4" s="2207" t="s">
        <v>1847</v>
      </c>
      <c r="F4" s="2207"/>
      <c r="G4" s="1829" t="s">
        <v>1159</v>
      </c>
      <c r="H4" s="1830"/>
      <c r="I4" s="1831"/>
    </row>
    <row r="5" spans="1:9" ht="42.75" customHeight="1">
      <c r="A5" s="2227"/>
      <c r="B5" s="2228"/>
      <c r="C5" s="361" t="s">
        <v>1160</v>
      </c>
      <c r="D5" s="282" t="s">
        <v>1161</v>
      </c>
      <c r="E5" s="361" t="s">
        <v>1160</v>
      </c>
      <c r="F5" s="363" t="s">
        <v>1165</v>
      </c>
      <c r="G5" s="811" t="s">
        <v>1841</v>
      </c>
      <c r="H5" s="361" t="s">
        <v>1842</v>
      </c>
      <c r="I5" s="361" t="s">
        <v>1843</v>
      </c>
    </row>
    <row r="6" spans="1:9">
      <c r="A6" s="511">
        <v>1</v>
      </c>
      <c r="B6" s="512" t="s">
        <v>604</v>
      </c>
      <c r="C6" s="427">
        <v>7579.23</v>
      </c>
      <c r="D6" s="514">
        <f>'F7-2'!D34</f>
        <v>8016.6252592709989</v>
      </c>
      <c r="E6" s="430">
        <v>9506.17</v>
      </c>
      <c r="F6" s="514">
        <f>'F7-2'!F34</f>
        <v>8702.9841483709988</v>
      </c>
      <c r="G6" s="514">
        <f>'F7-2'!G34</f>
        <v>10066.480045770997</v>
      </c>
      <c r="H6" s="514">
        <f>'F7-2'!H34</f>
        <v>11579.519807780553</v>
      </c>
      <c r="I6" s="514">
        <f>'F7-2'!I34</f>
        <v>13282.657079780553</v>
      </c>
    </row>
    <row r="7" spans="1:9" ht="18" customHeight="1">
      <c r="A7" s="511">
        <v>2</v>
      </c>
      <c r="B7" s="512" t="s">
        <v>345</v>
      </c>
      <c r="C7" s="733">
        <v>1.3599999999999999E-2</v>
      </c>
      <c r="D7" s="733">
        <v>1.3599999999999999E-2</v>
      </c>
      <c r="E7" s="525">
        <f>D7</f>
        <v>1.3599999999999999E-2</v>
      </c>
      <c r="F7" s="525">
        <f>E7</f>
        <v>1.3599999999999999E-2</v>
      </c>
      <c r="G7" s="1669">
        <f>'O&amp;M norms'!E40</f>
        <v>6.2279043928569477E-3</v>
      </c>
      <c r="H7" s="1669">
        <f>G7</f>
        <v>6.2279043928569477E-3</v>
      </c>
      <c r="I7" s="1669">
        <f>H7</f>
        <v>6.2279043928569477E-3</v>
      </c>
    </row>
    <row r="8" spans="1:9">
      <c r="A8" s="511">
        <v>3</v>
      </c>
      <c r="B8" s="512" t="s">
        <v>346</v>
      </c>
      <c r="C8" s="428">
        <f t="shared" ref="C8:H8" si="0">(C6*C7)</f>
        <v>103.07752799999999</v>
      </c>
      <c r="D8" s="428">
        <f t="shared" si="0"/>
        <v>109.02610352608558</v>
      </c>
      <c r="E8" s="428">
        <f t="shared" si="0"/>
        <v>129.28391199999999</v>
      </c>
      <c r="F8" s="428">
        <f t="shared" si="0"/>
        <v>118.36058441784557</v>
      </c>
      <c r="G8" s="428">
        <f t="shared" si="0"/>
        <v>62.693075297664002</v>
      </c>
      <c r="H8" s="428">
        <f t="shared" si="0"/>
        <v>72.116142278050546</v>
      </c>
      <c r="I8" s="428">
        <f>I6*I7</f>
        <v>82.723118375977734</v>
      </c>
    </row>
    <row r="9" spans="1:9">
      <c r="A9" s="511"/>
      <c r="B9" s="512"/>
      <c r="C9" s="427"/>
      <c r="D9" s="427"/>
      <c r="E9" s="427"/>
      <c r="F9" s="130"/>
      <c r="G9" s="130"/>
      <c r="H9" s="130"/>
      <c r="I9" s="130"/>
    </row>
    <row r="10" spans="1:9">
      <c r="A10" s="511">
        <v>4</v>
      </c>
      <c r="B10" s="512" t="s">
        <v>1819</v>
      </c>
      <c r="C10" s="427"/>
      <c r="D10" s="427">
        <f>D33</f>
        <v>49.511429530000008</v>
      </c>
      <c r="E10" s="427"/>
      <c r="F10" s="130"/>
      <c r="G10" s="130"/>
      <c r="H10" s="130"/>
      <c r="I10" s="130"/>
    </row>
    <row r="11" spans="1:9">
      <c r="A11" s="511">
        <v>5</v>
      </c>
      <c r="B11" s="512" t="s">
        <v>1217</v>
      </c>
      <c r="C11" s="522"/>
      <c r="D11" s="427"/>
      <c r="E11" s="427"/>
      <c r="F11" s="130"/>
      <c r="G11" s="130"/>
      <c r="H11" s="130"/>
      <c r="I11" s="130"/>
    </row>
    <row r="12" spans="1:9">
      <c r="A12" s="511">
        <v>6</v>
      </c>
      <c r="B12" s="512" t="s">
        <v>1218</v>
      </c>
      <c r="C12" s="427"/>
      <c r="D12" s="427">
        <f>D10*D11</f>
        <v>0</v>
      </c>
      <c r="E12" s="427"/>
      <c r="F12" s="130"/>
      <c r="G12" s="130"/>
      <c r="H12" s="130"/>
      <c r="I12" s="130"/>
    </row>
    <row r="13" spans="1:9">
      <c r="A13" s="511">
        <v>7</v>
      </c>
      <c r="B13" s="512" t="s">
        <v>25</v>
      </c>
      <c r="C13" s="427">
        <f>C8</f>
        <v>103.07752799999999</v>
      </c>
      <c r="D13" s="427">
        <f t="shared" ref="D13:F13" si="1">D8</f>
        <v>109.02610352608558</v>
      </c>
      <c r="E13" s="427">
        <f t="shared" si="1"/>
        <v>129.28391199999999</v>
      </c>
      <c r="F13" s="427">
        <f t="shared" si="1"/>
        <v>118.36058441784557</v>
      </c>
      <c r="G13" s="427">
        <f>G8</f>
        <v>62.693075297664002</v>
      </c>
      <c r="H13" s="427">
        <f>H8</f>
        <v>72.116142278050546</v>
      </c>
      <c r="I13" s="427">
        <f>I8</f>
        <v>82.723118375977734</v>
      </c>
    </row>
    <row r="14" spans="1:9" ht="21" customHeight="1" thickBot="1">
      <c r="A14" s="515"/>
      <c r="B14" s="516"/>
      <c r="C14" s="517"/>
      <c r="D14" s="517"/>
      <c r="E14" s="517"/>
      <c r="F14" s="517"/>
      <c r="G14" s="517"/>
    </row>
    <row r="15" spans="1:9" ht="47.25" customHeight="1" thickTop="1">
      <c r="A15" s="2222" t="s">
        <v>616</v>
      </c>
      <c r="B15" s="2222"/>
      <c r="C15" s="2222"/>
      <c r="D15" s="2222"/>
      <c r="E15" s="2222"/>
      <c r="F15" s="2222"/>
      <c r="G15" s="437"/>
    </row>
    <row r="16" spans="1:9" ht="47.25" customHeight="1">
      <c r="A16" s="437"/>
      <c r="B16" s="437"/>
      <c r="C16" s="437"/>
      <c r="D16" s="437"/>
      <c r="E16" s="437"/>
      <c r="F16" s="437"/>
      <c r="G16" s="437"/>
    </row>
    <row r="17" spans="1:7" ht="21" customHeight="1">
      <c r="A17" s="2223" t="s">
        <v>672</v>
      </c>
      <c r="B17" s="2223"/>
      <c r="C17" s="2223"/>
      <c r="D17" s="2223"/>
      <c r="E17" s="2223"/>
      <c r="F17" s="518"/>
      <c r="G17" s="518"/>
    </row>
    <row r="18" spans="1:7" s="76" customFormat="1" ht="21" customHeight="1">
      <c r="A18" s="520"/>
      <c r="B18" s="520"/>
      <c r="C18" s="520"/>
      <c r="D18" s="520"/>
      <c r="E18" s="520"/>
      <c r="F18" s="521"/>
      <c r="G18" s="521"/>
    </row>
    <row r="19" spans="1:7" ht="32.25" customHeight="1">
      <c r="A19" s="2224"/>
      <c r="B19" s="2225" t="s">
        <v>48</v>
      </c>
      <c r="C19" s="1820" t="s">
        <v>1850</v>
      </c>
      <c r="D19" s="1820"/>
    </row>
    <row r="20" spans="1:7" ht="31.5">
      <c r="A20" s="2224"/>
      <c r="B20" s="2225"/>
      <c r="C20" s="361" t="s">
        <v>1160</v>
      </c>
      <c r="D20" s="282" t="s">
        <v>230</v>
      </c>
    </row>
    <row r="21" spans="1:7" ht="21" customHeight="1">
      <c r="A21" s="412">
        <v>1</v>
      </c>
      <c r="B21" s="457" t="s">
        <v>651</v>
      </c>
      <c r="C21" s="519"/>
      <c r="D21" s="523">
        <f>'[128]Sch P&amp;L 22-25'!B44/10^7</f>
        <v>32.599871049999997</v>
      </c>
    </row>
    <row r="22" spans="1:7" ht="21" customHeight="1">
      <c r="A22" s="412">
        <v>2</v>
      </c>
      <c r="B22" s="457" t="s">
        <v>257</v>
      </c>
      <c r="C22" s="519"/>
      <c r="D22" s="523">
        <f>'[128]Sch P&amp;L 22-25'!B45/10^7</f>
        <v>2.8259017000000002</v>
      </c>
    </row>
    <row r="23" spans="1:7" ht="21" customHeight="1">
      <c r="A23" s="412">
        <v>3</v>
      </c>
      <c r="B23" s="457" t="s">
        <v>652</v>
      </c>
      <c r="C23" s="519"/>
      <c r="D23" s="523">
        <f>'[128]Sch P&amp;L 22-25'!$B$47/10^7</f>
        <v>0</v>
      </c>
    </row>
    <row r="24" spans="1:7" ht="21" customHeight="1">
      <c r="A24" s="412">
        <v>4</v>
      </c>
      <c r="B24" s="457" t="s">
        <v>653</v>
      </c>
      <c r="C24" s="519"/>
      <c r="D24" s="523">
        <f>'[128]Sch P&amp;L 22-25'!B48/10^7</f>
        <v>8.6850685500000004</v>
      </c>
    </row>
    <row r="25" spans="1:7">
      <c r="A25" s="412">
        <v>5</v>
      </c>
      <c r="B25" s="457" t="s">
        <v>654</v>
      </c>
      <c r="C25" s="130"/>
      <c r="D25" s="523">
        <f>'[128]Sch P&amp;L 22-25'!B49/10^7</f>
        <v>2.2566000000000001E-3</v>
      </c>
    </row>
    <row r="26" spans="1:7">
      <c r="A26" s="412">
        <v>6</v>
      </c>
      <c r="B26" s="457" t="s">
        <v>655</v>
      </c>
      <c r="C26" s="130"/>
      <c r="D26" s="523">
        <f>'[128]Sch P&amp;L 22-25'!B50/10^7</f>
        <v>7.1078000000000001E-3</v>
      </c>
    </row>
    <row r="27" spans="1:7">
      <c r="A27" s="412">
        <v>7</v>
      </c>
      <c r="B27" s="457" t="s">
        <v>656</v>
      </c>
      <c r="C27" s="130"/>
      <c r="D27" s="523">
        <f>'[128]Sch P&amp;L 22-25'!$B$51/10^7</f>
        <v>0.36519803000000001</v>
      </c>
    </row>
    <row r="28" spans="1:7">
      <c r="A28" s="412">
        <f>+A27+1</f>
        <v>8</v>
      </c>
      <c r="B28" s="457" t="s">
        <v>912</v>
      </c>
      <c r="C28" s="130"/>
      <c r="D28" s="523">
        <f>'[128]Sch P&amp;L 22-25'!$B$46/10^7</f>
        <v>5.0401857999999997</v>
      </c>
    </row>
    <row r="29" spans="1:7">
      <c r="A29" s="412">
        <f t="shared" ref="A29:A31" si="2">+A28+1</f>
        <v>9</v>
      </c>
      <c r="B29" s="457" t="s">
        <v>657</v>
      </c>
      <c r="C29" s="130"/>
      <c r="D29" s="429">
        <f>SUM(D21:D28)</f>
        <v>49.525589530000005</v>
      </c>
    </row>
    <row r="30" spans="1:7">
      <c r="A30" s="412">
        <f t="shared" si="2"/>
        <v>10</v>
      </c>
      <c r="B30" s="457" t="s">
        <v>658</v>
      </c>
      <c r="C30" s="130"/>
      <c r="D30" s="541">
        <v>0</v>
      </c>
    </row>
    <row r="31" spans="1:7">
      <c r="A31" s="412">
        <f t="shared" si="2"/>
        <v>11</v>
      </c>
      <c r="B31" s="457" t="s">
        <v>659</v>
      </c>
      <c r="C31" s="130"/>
      <c r="D31" s="444">
        <f>D29-D30</f>
        <v>49.525589530000005</v>
      </c>
    </row>
    <row r="32" spans="1:7" s="578" customFormat="1">
      <c r="A32" s="412"/>
      <c r="B32" s="457" t="s">
        <v>1269</v>
      </c>
      <c r="C32" s="130"/>
      <c r="D32" s="523">
        <f>'Allocation Statement'!J80</f>
        <v>1.4160000000000001E-2</v>
      </c>
      <c r="G32" s="809"/>
    </row>
    <row r="33" spans="1:9">
      <c r="A33" s="412">
        <f>+A31+1</f>
        <v>12</v>
      </c>
      <c r="B33" s="734" t="s">
        <v>660</v>
      </c>
      <c r="C33" s="444">
        <f>C13</f>
        <v>103.07752799999999</v>
      </c>
      <c r="D33" s="531">
        <f>D31-D32</f>
        <v>49.511429530000008</v>
      </c>
    </row>
    <row r="34" spans="1:9">
      <c r="A34" s="74" t="s">
        <v>661</v>
      </c>
    </row>
    <row r="37" spans="1:9">
      <c r="F37" s="2181" t="s">
        <v>401</v>
      </c>
      <c r="G37" s="2181"/>
      <c r="H37" s="2181"/>
      <c r="I37" s="2182"/>
    </row>
    <row r="39" spans="1:9">
      <c r="C39" s="526"/>
      <c r="D39" s="526"/>
      <c r="E39" s="526"/>
    </row>
    <row r="40" spans="1:9">
      <c r="E40" s="527"/>
    </row>
    <row r="41" spans="1:9">
      <c r="C41" s="496"/>
      <c r="D41" s="496"/>
      <c r="E41" s="496"/>
    </row>
  </sheetData>
  <mergeCells count="14">
    <mergeCell ref="A1:F1"/>
    <mergeCell ref="A4:A5"/>
    <mergeCell ref="B4:B5"/>
    <mergeCell ref="C4:D4"/>
    <mergeCell ref="A2:B2"/>
    <mergeCell ref="E4:F4"/>
    <mergeCell ref="F37:I37"/>
    <mergeCell ref="H2:I2"/>
    <mergeCell ref="A15:F15"/>
    <mergeCell ref="A17:E17"/>
    <mergeCell ref="A19:A20"/>
    <mergeCell ref="B19:B20"/>
    <mergeCell ref="C19:D19"/>
    <mergeCell ref="G4:I4"/>
  </mergeCells>
  <pageMargins left="0.70866141732283472" right="0.70866141732283472" top="0.74803149606299213" bottom="0.74803149606299213" header="0.31496062992125984" footer="0.31496062992125984"/>
  <pageSetup paperSize="9" scale="4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92D050"/>
    <pageSetUpPr fitToPage="1"/>
  </sheetPr>
  <dimension ref="A1:N72"/>
  <sheetViews>
    <sheetView showGridLines="0" view="pageBreakPreview" topLeftCell="A31" zoomScale="70" zoomScaleNormal="100" zoomScaleSheetLayoutView="70" workbookViewId="0">
      <pane xSplit="1" topLeftCell="C1" activePane="topRight" state="frozen"/>
      <selection activeCell="A35" sqref="A35"/>
      <selection pane="topRight" activeCell="F58" sqref="F58"/>
    </sheetView>
  </sheetViews>
  <sheetFormatPr defaultColWidth="9.140625" defaultRowHeight="15.75"/>
  <cols>
    <col min="1" max="1" width="53.7109375" style="74" customWidth="1"/>
    <col min="2" max="2" width="11.5703125" style="722" customWidth="1"/>
    <col min="3" max="3" width="17" style="74" customWidth="1"/>
    <col min="4" max="4" width="15.7109375" style="74" customWidth="1"/>
    <col min="5" max="5" width="19.42578125" style="74" customWidth="1"/>
    <col min="6" max="6" width="21.85546875" style="74" customWidth="1"/>
    <col min="7" max="8" width="21.85546875" style="74" hidden="1" customWidth="1"/>
    <col min="9" max="9" width="15.85546875" style="809" bestFit="1" customWidth="1"/>
    <col min="10" max="10" width="18" style="74" customWidth="1"/>
    <col min="11" max="11" width="17.7109375" style="74" customWidth="1"/>
    <col min="12" max="12" width="10.140625" style="74" customWidth="1"/>
    <col min="13" max="13" width="9.140625" style="74"/>
    <col min="14" max="14" width="10.7109375" style="74" bestFit="1" customWidth="1"/>
    <col min="15" max="16384" width="9.140625" style="74"/>
  </cols>
  <sheetData>
    <row r="1" spans="1:11" ht="21" customHeight="1">
      <c r="A1" s="1980" t="s">
        <v>1158</v>
      </c>
      <c r="B1" s="1980"/>
      <c r="C1" s="1980"/>
      <c r="D1" s="1980"/>
      <c r="E1" s="1980"/>
      <c r="F1" s="1980"/>
      <c r="G1" s="1980"/>
      <c r="H1" s="1980"/>
      <c r="I1" s="806"/>
    </row>
    <row r="2" spans="1:11" ht="21" customHeight="1">
      <c r="A2" s="139" t="s">
        <v>348</v>
      </c>
      <c r="B2" s="139"/>
      <c r="C2" s="490"/>
      <c r="D2" s="490"/>
      <c r="E2" s="490"/>
      <c r="F2" s="490"/>
      <c r="G2" s="1987"/>
      <c r="H2" s="1987"/>
      <c r="I2" s="807"/>
      <c r="J2" s="1987" t="s">
        <v>746</v>
      </c>
      <c r="K2" s="1987"/>
    </row>
    <row r="3" spans="1:11" ht="21" customHeight="1">
      <c r="A3" s="491"/>
      <c r="B3" s="491"/>
      <c r="C3" s="491"/>
      <c r="D3" s="491"/>
      <c r="E3" s="491"/>
      <c r="F3" s="491"/>
      <c r="G3" s="1981" t="s">
        <v>320</v>
      </c>
      <c r="H3" s="1981"/>
      <c r="I3" s="808"/>
    </row>
    <row r="4" spans="1:11" ht="41.25" customHeight="1">
      <c r="A4" s="1747" t="s">
        <v>48</v>
      </c>
      <c r="B4" s="719"/>
      <c r="C4" s="1820" t="s">
        <v>1846</v>
      </c>
      <c r="D4" s="1820"/>
      <c r="E4" s="2207" t="s">
        <v>1847</v>
      </c>
      <c r="F4" s="2207"/>
      <c r="G4" s="2207"/>
      <c r="H4" s="2207"/>
      <c r="I4" s="1829" t="s">
        <v>1159</v>
      </c>
      <c r="J4" s="1830"/>
      <c r="K4" s="1831"/>
    </row>
    <row r="5" spans="1:11" ht="31.5">
      <c r="A5" s="1747"/>
      <c r="B5" s="719"/>
      <c r="C5" s="361" t="s">
        <v>1160</v>
      </c>
      <c r="D5" s="282" t="s">
        <v>1687</v>
      </c>
      <c r="E5" s="361" t="s">
        <v>1160</v>
      </c>
      <c r="F5" s="361" t="s">
        <v>1163</v>
      </c>
      <c r="G5" s="361" t="s">
        <v>1164</v>
      </c>
      <c r="H5" s="363" t="s">
        <v>1165</v>
      </c>
      <c r="I5" s="811" t="s">
        <v>1841</v>
      </c>
      <c r="J5" s="805" t="s">
        <v>1842</v>
      </c>
      <c r="K5" s="805" t="s">
        <v>1843</v>
      </c>
    </row>
    <row r="6" spans="1:11" ht="21" customHeight="1">
      <c r="A6" s="409" t="s">
        <v>662</v>
      </c>
      <c r="B6" s="409"/>
      <c r="C6" s="130"/>
      <c r="D6" s="430">
        <f>'[128]Sch P&amp;L 22-25'!B55/10^7</f>
        <v>1.0132859999999999</v>
      </c>
      <c r="E6" s="2229" t="s">
        <v>931</v>
      </c>
      <c r="F6" s="2230"/>
      <c r="G6" s="2230"/>
      <c r="H6" s="2230"/>
      <c r="I6" s="2230"/>
      <c r="J6" s="2230"/>
      <c r="K6" s="2231"/>
    </row>
    <row r="7" spans="1:11" ht="21" customHeight="1">
      <c r="A7" s="409" t="s">
        <v>349</v>
      </c>
      <c r="B7" s="409"/>
      <c r="C7" s="130"/>
      <c r="D7" s="430">
        <f>'[128]Sch P&amp;L 22-25'!B56/10^7</f>
        <v>6.9733748959999993</v>
      </c>
      <c r="E7" s="2232"/>
      <c r="F7" s="2233"/>
      <c r="G7" s="2233"/>
      <c r="H7" s="2233"/>
      <c r="I7" s="2233"/>
      <c r="J7" s="2233"/>
      <c r="K7" s="2234"/>
    </row>
    <row r="8" spans="1:11" ht="21" customHeight="1">
      <c r="A8" s="409" t="s">
        <v>663</v>
      </c>
      <c r="B8" s="409"/>
      <c r="C8" s="130"/>
      <c r="D8" s="430">
        <f>'[128]Sch P&amp;L 22-25'!B57/10^7</f>
        <v>0.57421944000000003</v>
      </c>
      <c r="E8" s="2232"/>
      <c r="F8" s="2233"/>
      <c r="G8" s="2233"/>
      <c r="H8" s="2233"/>
      <c r="I8" s="2233"/>
      <c r="J8" s="2233"/>
      <c r="K8" s="2234"/>
    </row>
    <row r="9" spans="1:11" ht="21" customHeight="1">
      <c r="A9" s="409" t="s">
        <v>1221</v>
      </c>
      <c r="B9" s="409"/>
      <c r="C9" s="130"/>
      <c r="D9" s="430">
        <f>'[128]Sch P&amp;L 22-25'!B58/10^7</f>
        <v>0.1081635</v>
      </c>
      <c r="E9" s="2232"/>
      <c r="F9" s="2233"/>
      <c r="G9" s="2233"/>
      <c r="H9" s="2233"/>
      <c r="I9" s="2233"/>
      <c r="J9" s="2233"/>
      <c r="K9" s="2234"/>
    </row>
    <row r="10" spans="1:11" ht="21" customHeight="1">
      <c r="A10" s="409" t="s">
        <v>1222</v>
      </c>
      <c r="B10" s="409"/>
      <c r="C10" s="130"/>
      <c r="D10" s="430">
        <f>'[128]Sch P&amp;L 22-25'!B59/10^7</f>
        <v>4.8306000000000002E-2</v>
      </c>
      <c r="E10" s="2232"/>
      <c r="F10" s="2233"/>
      <c r="G10" s="2233"/>
      <c r="H10" s="2233"/>
      <c r="I10" s="2233"/>
      <c r="J10" s="2233"/>
      <c r="K10" s="2234"/>
    </row>
    <row r="11" spans="1:11" ht="21" customHeight="1">
      <c r="A11" s="409" t="s">
        <v>664</v>
      </c>
      <c r="B11" s="409"/>
      <c r="C11" s="130"/>
      <c r="D11" s="430">
        <f>'[128]Sch P&amp;L 22-25'!B60/10^7</f>
        <v>1.003755</v>
      </c>
      <c r="E11" s="2232"/>
      <c r="F11" s="2233"/>
      <c r="G11" s="2233"/>
      <c r="H11" s="2233"/>
      <c r="I11" s="2233"/>
      <c r="J11" s="2233"/>
      <c r="K11" s="2234"/>
    </row>
    <row r="12" spans="1:11" ht="21" customHeight="1">
      <c r="A12" s="409" t="s">
        <v>1223</v>
      </c>
      <c r="B12" s="409"/>
      <c r="C12" s="130"/>
      <c r="D12" s="430">
        <f>'[128]Sch P&amp;L 22-25'!B61/10^7</f>
        <v>5.8999999999999999E-3</v>
      </c>
      <c r="E12" s="2232"/>
      <c r="F12" s="2233"/>
      <c r="G12" s="2233"/>
      <c r="H12" s="2233"/>
      <c r="I12" s="2233"/>
      <c r="J12" s="2233"/>
      <c r="K12" s="2234"/>
    </row>
    <row r="13" spans="1:11" ht="21" customHeight="1">
      <c r="A13" s="414" t="s">
        <v>1224</v>
      </c>
      <c r="B13" s="414"/>
      <c r="C13" s="130"/>
      <c r="D13" s="430">
        <f>'[128]Sch P&amp;L 22-25'!B62/10^7</f>
        <v>1.06896E-2</v>
      </c>
      <c r="E13" s="2232"/>
      <c r="F13" s="2233"/>
      <c r="G13" s="2233"/>
      <c r="H13" s="2233"/>
      <c r="I13" s="2233"/>
      <c r="J13" s="2233"/>
      <c r="K13" s="2234"/>
    </row>
    <row r="14" spans="1:11" s="76" customFormat="1" ht="21" customHeight="1">
      <c r="A14" s="658" t="s">
        <v>1225</v>
      </c>
      <c r="B14" s="658"/>
      <c r="C14" s="122"/>
      <c r="D14" s="430">
        <v>0</v>
      </c>
      <c r="E14" s="2232"/>
      <c r="F14" s="2233"/>
      <c r="G14" s="2233"/>
      <c r="H14" s="2233"/>
      <c r="I14" s="2233"/>
      <c r="J14" s="2233"/>
      <c r="K14" s="2234"/>
    </row>
    <row r="15" spans="1:11" ht="21" customHeight="1">
      <c r="A15" s="409" t="s">
        <v>665</v>
      </c>
      <c r="B15" s="409"/>
      <c r="C15" s="130"/>
      <c r="D15" s="430">
        <f>'[128]Sch P&amp;L 22-25'!B65/10^7</f>
        <v>1.0024999999999999E-3</v>
      </c>
      <c r="E15" s="2232"/>
      <c r="F15" s="2233"/>
      <c r="G15" s="2233"/>
      <c r="H15" s="2233"/>
      <c r="I15" s="2233"/>
      <c r="J15" s="2233"/>
      <c r="K15" s="2234"/>
    </row>
    <row r="16" spans="1:11" ht="21" customHeight="1">
      <c r="A16" s="409" t="s">
        <v>666</v>
      </c>
      <c r="B16" s="409"/>
      <c r="C16" s="130"/>
      <c r="D16" s="430">
        <f>'[128]Sch P&amp;L 22-25'!B66/10^7</f>
        <v>11.447379570000001</v>
      </c>
      <c r="E16" s="2232"/>
      <c r="F16" s="2233"/>
      <c r="G16" s="2233"/>
      <c r="H16" s="2233"/>
      <c r="I16" s="2233"/>
      <c r="J16" s="2233"/>
      <c r="K16" s="2234"/>
    </row>
    <row r="17" spans="1:11" ht="21" customHeight="1">
      <c r="A17" s="409" t="s">
        <v>1226</v>
      </c>
      <c r="B17" s="409"/>
      <c r="C17" s="130"/>
      <c r="D17" s="430">
        <f>'[128]Sch P&amp;L 22-25'!B69/10^7</f>
        <v>1.5991687000000001</v>
      </c>
      <c r="E17" s="2232"/>
      <c r="F17" s="2233"/>
      <c r="G17" s="2233"/>
      <c r="H17" s="2233"/>
      <c r="I17" s="2233"/>
      <c r="J17" s="2233"/>
      <c r="K17" s="2234"/>
    </row>
    <row r="18" spans="1:11" ht="21" customHeight="1">
      <c r="A18" s="409" t="s">
        <v>1227</v>
      </c>
      <c r="B18" s="409"/>
      <c r="C18" s="130"/>
      <c r="D18" s="430">
        <f>'[128]Sch P&amp;L 22-25'!B70/10^7</f>
        <v>1.4461399999999999E-2</v>
      </c>
      <c r="E18" s="2232"/>
      <c r="F18" s="2233"/>
      <c r="G18" s="2233"/>
      <c r="H18" s="2233"/>
      <c r="I18" s="2233"/>
      <c r="J18" s="2233"/>
      <c r="K18" s="2234"/>
    </row>
    <row r="19" spans="1:11" ht="21" customHeight="1">
      <c r="A19" s="409" t="s">
        <v>1228</v>
      </c>
      <c r="B19" s="409"/>
      <c r="C19" s="130"/>
      <c r="D19" s="430">
        <f>'[128]Sch P&amp;L 22-25'!B71/10^7</f>
        <v>0.35797649999999998</v>
      </c>
      <c r="E19" s="2232"/>
      <c r="F19" s="2233"/>
      <c r="G19" s="2233"/>
      <c r="H19" s="2233"/>
      <c r="I19" s="2233"/>
      <c r="J19" s="2233"/>
      <c r="K19" s="2234"/>
    </row>
    <row r="20" spans="1:11" ht="21" customHeight="1">
      <c r="A20" s="409" t="s">
        <v>1229</v>
      </c>
      <c r="B20" s="409"/>
      <c r="C20" s="130"/>
      <c r="D20" s="430">
        <f>'[128]Sch P&amp;L 22-25'!B72/10^7</f>
        <v>0.91031898000000011</v>
      </c>
      <c r="E20" s="2232"/>
      <c r="F20" s="2233"/>
      <c r="G20" s="2233"/>
      <c r="H20" s="2233"/>
      <c r="I20" s="2233"/>
      <c r="J20" s="2233"/>
      <c r="K20" s="2234"/>
    </row>
    <row r="21" spans="1:11" ht="21" customHeight="1">
      <c r="A21" s="409" t="s">
        <v>1234</v>
      </c>
      <c r="B21" s="409"/>
      <c r="C21" s="130"/>
      <c r="D21" s="430">
        <f>'[128]Sch P&amp;L 22-25'!B73/10^7</f>
        <v>8.0531869</v>
      </c>
      <c r="E21" s="2232"/>
      <c r="F21" s="2233"/>
      <c r="G21" s="2233"/>
      <c r="H21" s="2233"/>
      <c r="I21" s="2233"/>
      <c r="J21" s="2233"/>
      <c r="K21" s="2234"/>
    </row>
    <row r="22" spans="1:11" ht="21" customHeight="1">
      <c r="A22" s="409" t="s">
        <v>667</v>
      </c>
      <c r="B22" s="409"/>
      <c r="C22" s="130"/>
      <c r="D22" s="430">
        <f>'[128]Sch P&amp;L 22-25'!B74/10^7</f>
        <v>15.472380919999999</v>
      </c>
      <c r="E22" s="2232"/>
      <c r="F22" s="2233"/>
      <c r="G22" s="2233"/>
      <c r="H22" s="2233"/>
      <c r="I22" s="2233"/>
      <c r="J22" s="2233"/>
      <c r="K22" s="2234"/>
    </row>
    <row r="23" spans="1:11" ht="21" customHeight="1">
      <c r="A23" s="409" t="s">
        <v>668</v>
      </c>
      <c r="B23" s="409"/>
      <c r="C23" s="130"/>
      <c r="D23" s="430"/>
      <c r="E23" s="2232"/>
      <c r="F23" s="2233"/>
      <c r="G23" s="2233"/>
      <c r="H23" s="2233"/>
      <c r="I23" s="2233"/>
      <c r="J23" s="2233"/>
      <c r="K23" s="2234"/>
    </row>
    <row r="24" spans="1:11" ht="21" customHeight="1">
      <c r="A24" s="530" t="s">
        <v>1230</v>
      </c>
      <c r="B24" s="530"/>
      <c r="C24" s="130"/>
      <c r="D24" s="430">
        <f>'[128]Sch P&amp;L 22-25'!B75/10^7</f>
        <v>0.1452502</v>
      </c>
      <c r="E24" s="2232"/>
      <c r="F24" s="2233"/>
      <c r="G24" s="2233"/>
      <c r="H24" s="2233"/>
      <c r="I24" s="2233"/>
      <c r="J24" s="2233"/>
      <c r="K24" s="2234"/>
    </row>
    <row r="25" spans="1:11" ht="21" customHeight="1">
      <c r="A25" s="530" t="s">
        <v>1231</v>
      </c>
      <c r="B25" s="530"/>
      <c r="C25" s="130"/>
      <c r="D25" s="430">
        <f>'[128]Sch P&amp;L 22-25'!B76/10^7</f>
        <v>0.25768750000000001</v>
      </c>
      <c r="E25" s="2232"/>
      <c r="F25" s="2233"/>
      <c r="G25" s="2233"/>
      <c r="H25" s="2233"/>
      <c r="I25" s="2233"/>
      <c r="J25" s="2233"/>
      <c r="K25" s="2234"/>
    </row>
    <row r="26" spans="1:11" ht="21" customHeight="1">
      <c r="A26" s="409" t="s">
        <v>1232</v>
      </c>
      <c r="B26" s="409"/>
      <c r="C26" s="130"/>
      <c r="D26" s="430">
        <f>'[128]Sch P&amp;L 22-25'!B77/10^7</f>
        <v>12.536975603</v>
      </c>
      <c r="E26" s="2232"/>
      <c r="F26" s="2233"/>
      <c r="G26" s="2233"/>
      <c r="H26" s="2233"/>
      <c r="I26" s="2233"/>
      <c r="J26" s="2233"/>
      <c r="K26" s="2234"/>
    </row>
    <row r="27" spans="1:11" ht="21" customHeight="1">
      <c r="A27" s="409" t="s">
        <v>1233</v>
      </c>
      <c r="B27" s="409"/>
      <c r="C27" s="130"/>
      <c r="D27" s="430">
        <f>'[128]Sch P&amp;L 22-25'!B78/10^7</f>
        <v>0.69071765799999996</v>
      </c>
      <c r="E27" s="2232"/>
      <c r="F27" s="2233"/>
      <c r="G27" s="2233"/>
      <c r="H27" s="2233"/>
      <c r="I27" s="2233"/>
      <c r="J27" s="2233"/>
      <c r="K27" s="2234"/>
    </row>
    <row r="28" spans="1:11" s="863" customFormat="1" ht="21" customHeight="1">
      <c r="A28" s="409" t="s">
        <v>1903</v>
      </c>
      <c r="B28" s="409"/>
      <c r="C28" s="130"/>
      <c r="D28" s="430">
        <f>'[128]Sch P&amp;L 22-25'!B79/10^7</f>
        <v>5</v>
      </c>
      <c r="E28" s="2232"/>
      <c r="F28" s="2233"/>
      <c r="G28" s="2233"/>
      <c r="H28" s="2233"/>
      <c r="I28" s="2233"/>
      <c r="J28" s="2233"/>
      <c r="K28" s="2234"/>
    </row>
    <row r="29" spans="1:11" ht="21" customHeight="1">
      <c r="A29" s="409" t="s">
        <v>1837</v>
      </c>
      <c r="B29" s="409"/>
      <c r="C29" s="130"/>
      <c r="D29" s="430">
        <f>'[128]Sch P&amp;L 22-25'!B80/10^7</f>
        <v>0</v>
      </c>
      <c r="E29" s="2232"/>
      <c r="F29" s="2233"/>
      <c r="G29" s="2233"/>
      <c r="H29" s="2233"/>
      <c r="I29" s="2233"/>
      <c r="J29" s="2233"/>
      <c r="K29" s="2234"/>
    </row>
    <row r="30" spans="1:11" ht="21" customHeight="1">
      <c r="A30" s="409" t="s">
        <v>1904</v>
      </c>
      <c r="B30" s="409"/>
      <c r="C30" s="130"/>
      <c r="D30" s="430">
        <f>'[128]Sch P&amp;L 22-25'!$B$81/10^7</f>
        <v>1.0623825630000001</v>
      </c>
      <c r="E30" s="2232"/>
      <c r="F30" s="2233"/>
      <c r="G30" s="2233"/>
      <c r="H30" s="2233"/>
      <c r="I30" s="2233"/>
      <c r="J30" s="2233"/>
      <c r="K30" s="2234"/>
    </row>
    <row r="31" spans="1:11" ht="21" customHeight="1">
      <c r="A31" s="409" t="s">
        <v>657</v>
      </c>
      <c r="B31" s="409"/>
      <c r="C31" s="130"/>
      <c r="D31" s="430">
        <f>SUM(D6:D30)</f>
        <v>67.286583429999993</v>
      </c>
      <c r="E31" s="2232"/>
      <c r="F31" s="2233"/>
      <c r="G31" s="2233"/>
      <c r="H31" s="2233"/>
      <c r="I31" s="2233"/>
      <c r="J31" s="2233"/>
      <c r="K31" s="2234"/>
    </row>
    <row r="32" spans="1:11" ht="21" customHeight="1">
      <c r="A32" s="409" t="s">
        <v>669</v>
      </c>
      <c r="B32" s="409"/>
      <c r="C32" s="130"/>
      <c r="D32" s="276">
        <v>0</v>
      </c>
      <c r="E32" s="2232"/>
      <c r="F32" s="2233"/>
      <c r="G32" s="2233"/>
      <c r="H32" s="2233"/>
      <c r="I32" s="2233"/>
      <c r="J32" s="2233"/>
      <c r="K32" s="2234"/>
    </row>
    <row r="33" spans="1:11" ht="21" customHeight="1">
      <c r="A33" s="409" t="s">
        <v>670</v>
      </c>
      <c r="B33" s="409"/>
      <c r="C33" s="130"/>
      <c r="D33" s="444">
        <f>D31-D32</f>
        <v>67.286583429999993</v>
      </c>
      <c r="E33" s="2232"/>
      <c r="F33" s="2233"/>
      <c r="G33" s="2233"/>
      <c r="H33" s="2233"/>
      <c r="I33" s="2233"/>
      <c r="J33" s="2233"/>
      <c r="K33" s="2234"/>
    </row>
    <row r="34" spans="1:11" s="578" customFormat="1" ht="21" customHeight="1">
      <c r="A34" s="409" t="s">
        <v>1269</v>
      </c>
      <c r="B34" s="409"/>
      <c r="C34" s="130"/>
      <c r="D34" s="430">
        <f>'Allocation Statement'!J79</f>
        <v>0.26237092699999998</v>
      </c>
      <c r="E34" s="2232"/>
      <c r="F34" s="2233"/>
      <c r="G34" s="2233"/>
      <c r="H34" s="2233"/>
      <c r="I34" s="2233"/>
      <c r="J34" s="2233"/>
      <c r="K34" s="2234"/>
    </row>
    <row r="35" spans="1:11" ht="21" customHeight="1">
      <c r="A35" s="391" t="s">
        <v>660</v>
      </c>
      <c r="B35" s="391"/>
      <c r="C35" s="393"/>
      <c r="D35" s="531">
        <f>D33-D34</f>
        <v>67.024212502999987</v>
      </c>
      <c r="E35" s="2235"/>
      <c r="F35" s="2236"/>
      <c r="G35" s="2236"/>
      <c r="H35" s="2236"/>
      <c r="I35" s="2236"/>
      <c r="J35" s="2236"/>
      <c r="K35" s="2237"/>
    </row>
    <row r="36" spans="1:11" ht="21" customHeight="1">
      <c r="A36" s="2247" t="s">
        <v>671</v>
      </c>
      <c r="B36" s="2248"/>
      <c r="C36" s="2248"/>
      <c r="D36" s="2248"/>
    </row>
    <row r="37" spans="1:11" ht="21" customHeight="1"/>
    <row r="38" spans="1:11" ht="21" customHeight="1">
      <c r="H38" s="1981" t="s">
        <v>320</v>
      </c>
      <c r="I38" s="1981"/>
      <c r="J38" s="1981"/>
    </row>
    <row r="39" spans="1:11" ht="31.5" hidden="1" customHeight="1">
      <c r="A39" s="1747" t="s">
        <v>48</v>
      </c>
      <c r="B39" s="2196" t="s">
        <v>1235</v>
      </c>
      <c r="C39" s="1820" t="s">
        <v>1684</v>
      </c>
      <c r="D39" s="1820"/>
      <c r="E39" s="2207" t="s">
        <v>1685</v>
      </c>
      <c r="F39" s="2207"/>
      <c r="G39" s="2207"/>
      <c r="H39" s="2207"/>
      <c r="I39" s="811"/>
      <c r="J39" s="1820" t="s">
        <v>1686</v>
      </c>
      <c r="K39" s="1820"/>
    </row>
    <row r="40" spans="1:11" ht="31.5" hidden="1" customHeight="1">
      <c r="A40" s="1747"/>
      <c r="B40" s="2197"/>
      <c r="C40" s="361" t="s">
        <v>1172</v>
      </c>
      <c r="D40" s="282" t="s">
        <v>1687</v>
      </c>
      <c r="E40" s="361" t="s">
        <v>1160</v>
      </c>
      <c r="F40" s="361" t="s">
        <v>1163</v>
      </c>
      <c r="G40" s="361" t="s">
        <v>1164</v>
      </c>
      <c r="H40" s="363" t="s">
        <v>1165</v>
      </c>
      <c r="I40" s="811"/>
      <c r="J40" s="361" t="s">
        <v>1160</v>
      </c>
      <c r="K40" s="361" t="s">
        <v>1166</v>
      </c>
    </row>
    <row r="41" spans="1:11" ht="21" hidden="1" customHeight="1">
      <c r="A41" s="512"/>
      <c r="B41" s="512"/>
      <c r="C41" s="427"/>
      <c r="D41" s="427"/>
      <c r="E41" s="2238" t="s">
        <v>931</v>
      </c>
      <c r="F41" s="2239"/>
      <c r="G41" s="2239"/>
      <c r="H41" s="2239"/>
      <c r="I41" s="2239"/>
      <c r="J41" s="2239"/>
      <c r="K41" s="2240"/>
    </row>
    <row r="42" spans="1:11" ht="21" hidden="1" customHeight="1">
      <c r="A42" s="512" t="s">
        <v>1219</v>
      </c>
      <c r="B42" s="512"/>
      <c r="C42" s="428">
        <v>18.45</v>
      </c>
      <c r="D42" s="427"/>
      <c r="E42" s="2241"/>
      <c r="F42" s="2242"/>
      <c r="G42" s="2242"/>
      <c r="H42" s="2242"/>
      <c r="I42" s="2242"/>
      <c r="J42" s="2242"/>
      <c r="K42" s="2243"/>
    </row>
    <row r="43" spans="1:11" ht="21" hidden="1" customHeight="1">
      <c r="A43" s="512" t="s">
        <v>1217</v>
      </c>
      <c r="B43" s="512"/>
      <c r="C43" s="524">
        <v>3.5099999999999999E-2</v>
      </c>
      <c r="D43" s="427"/>
      <c r="E43" s="2241"/>
      <c r="F43" s="2242"/>
      <c r="G43" s="2242"/>
      <c r="H43" s="2242"/>
      <c r="I43" s="2242"/>
      <c r="J43" s="2242"/>
      <c r="K43" s="2243"/>
    </row>
    <row r="44" spans="1:11" ht="21" hidden="1" customHeight="1">
      <c r="A44" s="512" t="s">
        <v>1218</v>
      </c>
      <c r="B44" s="512"/>
      <c r="C44" s="428">
        <f>C42*C43</f>
        <v>0.64759499999999992</v>
      </c>
      <c r="D44" s="427"/>
      <c r="E44" s="2241"/>
      <c r="F44" s="2242"/>
      <c r="G44" s="2242"/>
      <c r="H44" s="2242"/>
      <c r="I44" s="2242"/>
      <c r="J44" s="2242"/>
      <c r="K44" s="2243"/>
    </row>
    <row r="45" spans="1:11" ht="21" hidden="1" customHeight="1">
      <c r="A45" s="528" t="s">
        <v>1220</v>
      </c>
      <c r="B45" s="528"/>
      <c r="C45" s="529">
        <f>C42+C44</f>
        <v>19.097594999999998</v>
      </c>
      <c r="D45" s="427"/>
      <c r="E45" s="2244"/>
      <c r="F45" s="2245"/>
      <c r="G45" s="2245"/>
      <c r="H45" s="2245"/>
      <c r="I45" s="2245"/>
      <c r="J45" s="2245"/>
      <c r="K45" s="2246"/>
    </row>
    <row r="46" spans="1:11" ht="21" customHeight="1"/>
    <row r="47" spans="1:11" ht="21" customHeight="1">
      <c r="H47" s="1981" t="s">
        <v>320</v>
      </c>
      <c r="I47" s="1981"/>
      <c r="J47" s="1981"/>
    </row>
    <row r="48" spans="1:11" ht="31.5" customHeight="1">
      <c r="A48" s="1747" t="s">
        <v>48</v>
      </c>
      <c r="B48" s="2196" t="s">
        <v>1211</v>
      </c>
      <c r="C48" s="1820" t="s">
        <v>1846</v>
      </c>
      <c r="D48" s="1820"/>
      <c r="E48" s="1824" t="s">
        <v>1847</v>
      </c>
      <c r="F48" s="1825"/>
      <c r="G48" s="1825"/>
      <c r="H48" s="1826"/>
      <c r="I48" s="1829" t="s">
        <v>1159</v>
      </c>
      <c r="J48" s="1830"/>
      <c r="K48" s="1831"/>
    </row>
    <row r="49" spans="1:14" ht="35.25" customHeight="1">
      <c r="A49" s="1747"/>
      <c r="B49" s="2197"/>
      <c r="C49" s="361" t="s">
        <v>1160</v>
      </c>
      <c r="D49" s="282" t="s">
        <v>1161</v>
      </c>
      <c r="E49" s="361" t="s">
        <v>1160</v>
      </c>
      <c r="F49" s="361" t="s">
        <v>2248</v>
      </c>
      <c r="G49" s="361" t="s">
        <v>1164</v>
      </c>
      <c r="H49" s="363" t="s">
        <v>1165</v>
      </c>
      <c r="I49" s="811" t="s">
        <v>1841</v>
      </c>
      <c r="J49" s="805" t="s">
        <v>1842</v>
      </c>
      <c r="K49" s="805" t="s">
        <v>1843</v>
      </c>
    </row>
    <row r="50" spans="1:14" ht="21" customHeight="1">
      <c r="A50" s="130" t="s">
        <v>1722</v>
      </c>
      <c r="B50" s="130"/>
      <c r="C50" s="525">
        <v>3.4700000000000002E-2</v>
      </c>
      <c r="D50" s="525">
        <f>'F14-2'!E10</f>
        <v>3.916518848264873E-2</v>
      </c>
      <c r="E50" s="525">
        <v>3.9199999999999999E-2</v>
      </c>
      <c r="F50" s="525">
        <f>'F14-2'!G10</f>
        <v>3.8500633670856821E-2</v>
      </c>
      <c r="G50" s="525">
        <f>'F14-2'!H10</f>
        <v>3.8500633670856821E-2</v>
      </c>
      <c r="H50" s="525">
        <f>'F14-2'!I10</f>
        <v>0</v>
      </c>
      <c r="I50" s="525">
        <f>'F14-2'!H10</f>
        <v>3.8500633670856821E-2</v>
      </c>
      <c r="J50" s="525">
        <f>I50</f>
        <v>3.8500633670856821E-2</v>
      </c>
      <c r="K50" s="525">
        <f>J50</f>
        <v>3.8500633670856821E-2</v>
      </c>
    </row>
    <row r="51" spans="1:14" ht="21" customHeight="1">
      <c r="A51" s="130" t="s">
        <v>1259</v>
      </c>
      <c r="B51" s="532">
        <v>1.0343</v>
      </c>
      <c r="C51" s="532">
        <v>1.0702</v>
      </c>
      <c r="D51" s="532">
        <f>B51*(1+D50)</f>
        <v>1.0748085544476036</v>
      </c>
      <c r="E51" s="532">
        <v>1.1169</v>
      </c>
      <c r="F51" s="532">
        <f>D51*(1+F50)</f>
        <v>1.116189364868694</v>
      </c>
      <c r="G51" s="130"/>
      <c r="H51" s="532" t="e">
        <f>#REF!*(1+H50)</f>
        <v>#REF!</v>
      </c>
      <c r="I51" s="532">
        <f>'O&amp;M norms'!L28*(1+'F16'!I50)</f>
        <v>1.8613070685741704</v>
      </c>
      <c r="J51" s="532">
        <f>I51*(1+J50)</f>
        <v>1.932968570170321</v>
      </c>
      <c r="K51" s="532">
        <f>J51*(1+K50)</f>
        <v>2.0073890849877287</v>
      </c>
    </row>
    <row r="52" spans="1:14" ht="21" customHeight="1">
      <c r="A52" s="130" t="s">
        <v>1236</v>
      </c>
      <c r="B52" s="130"/>
      <c r="C52" s="659">
        <v>2342</v>
      </c>
      <c r="D52" s="1121">
        <f>'F14-3'!C27</f>
        <v>2334</v>
      </c>
      <c r="E52" s="659">
        <v>2342</v>
      </c>
      <c r="F52" s="1121">
        <f>'F14-3'!D27</f>
        <v>2333</v>
      </c>
      <c r="G52" s="122"/>
      <c r="H52" s="1121">
        <v>2156</v>
      </c>
      <c r="I52" s="1121">
        <f>'F14-3'!E27</f>
        <v>2298</v>
      </c>
      <c r="J52" s="1121">
        <f>'F14-3'!F27</f>
        <v>2284</v>
      </c>
      <c r="K52" s="1121">
        <f>'F14-3'!G27</f>
        <v>2263</v>
      </c>
      <c r="L52" s="1119"/>
    </row>
    <row r="53" spans="1:14" ht="21" customHeight="1">
      <c r="A53" s="130" t="s">
        <v>1237</v>
      </c>
      <c r="B53" s="509">
        <v>12.4443</v>
      </c>
      <c r="C53" s="1150">
        <v>12.8757</v>
      </c>
      <c r="D53" s="1118">
        <f>B53*(1+D50)</f>
        <v>12.931683355034625</v>
      </c>
      <c r="E53" s="1118">
        <v>13.4381</v>
      </c>
      <c r="F53" s="1118">
        <f>D53*(1+F50)</f>
        <v>13.429561358634331</v>
      </c>
      <c r="G53" s="122"/>
      <c r="H53" s="660" t="e">
        <f>#REF!*(1+H50)</f>
        <v>#REF!</v>
      </c>
      <c r="I53" s="660">
        <f>'O&amp;M norms'!L29*(1+'F16'!I50)</f>
        <v>24.570294548865771</v>
      </c>
      <c r="J53" s="660">
        <f>I53*(1+J50)</f>
        <v>25.516266458476704</v>
      </c>
      <c r="K53" s="660">
        <f>J53*(1+K50)</f>
        <v>26.498658886042488</v>
      </c>
    </row>
    <row r="54" spans="1:14" ht="21" customHeight="1">
      <c r="A54" s="130" t="s">
        <v>1238</v>
      </c>
      <c r="B54" s="130"/>
      <c r="C54" s="130">
        <v>152</v>
      </c>
      <c r="D54" s="732">
        <f>'F14-1'!E25</f>
        <v>146</v>
      </c>
      <c r="E54" s="130">
        <v>146</v>
      </c>
      <c r="F54" s="732">
        <f>'F14-1'!I25</f>
        <v>148</v>
      </c>
      <c r="G54" s="122"/>
      <c r="H54" s="122">
        <f>+'F14-1'!I25</f>
        <v>148</v>
      </c>
      <c r="I54" s="1120">
        <f>'F14-1'!J25</f>
        <v>152</v>
      </c>
      <c r="J54" s="1120">
        <f>'F14-1'!K25</f>
        <v>157</v>
      </c>
      <c r="K54" s="1120">
        <f>'F14-1'!L25</f>
        <v>165</v>
      </c>
    </row>
    <row r="55" spans="1:14" ht="21" customHeight="1">
      <c r="A55" s="130"/>
      <c r="B55" s="130"/>
      <c r="C55" s="130"/>
      <c r="D55" s="130"/>
      <c r="E55" s="130"/>
      <c r="F55" s="130"/>
      <c r="G55" s="122"/>
      <c r="H55" s="122"/>
      <c r="I55" s="122"/>
      <c r="J55" s="122"/>
      <c r="K55" s="122"/>
    </row>
    <row r="56" spans="1:14" ht="21" customHeight="1">
      <c r="A56" s="130" t="s">
        <v>1239</v>
      </c>
      <c r="B56" s="130"/>
      <c r="C56" s="430">
        <v>25.06</v>
      </c>
      <c r="D56" s="430">
        <f>(D52*D51)/100</f>
        <v>25.086031660807066</v>
      </c>
      <c r="E56" s="430">
        <v>26.16</v>
      </c>
      <c r="F56" s="430">
        <f>(F52*F51)/100</f>
        <v>26.040697882386631</v>
      </c>
      <c r="G56" s="130"/>
      <c r="H56" s="431" t="e">
        <f>(H52*H51)/100</f>
        <v>#REF!</v>
      </c>
      <c r="I56" s="430">
        <f>(I52*I51)/100</f>
        <v>42.772836435834435</v>
      </c>
      <c r="J56" s="430">
        <f>(J52*J51)/100</f>
        <v>44.149002142690136</v>
      </c>
      <c r="K56" s="430">
        <f>(K52*K51)/100</f>
        <v>45.427214993272301</v>
      </c>
    </row>
    <row r="57" spans="1:14" ht="21" customHeight="1">
      <c r="A57" s="130" t="s">
        <v>1240</v>
      </c>
      <c r="B57" s="130"/>
      <c r="C57" s="430">
        <f>(C53*C54)/100</f>
        <v>19.571064</v>
      </c>
      <c r="D57" s="430">
        <f>(D53*D54)/100</f>
        <v>18.880257698350555</v>
      </c>
      <c r="E57" s="430">
        <v>19.62</v>
      </c>
      <c r="F57" s="430">
        <f>(F53*F54)/100</f>
        <v>19.875750810778808</v>
      </c>
      <c r="G57" s="130"/>
      <c r="H57" s="430" t="e">
        <f>(H53*H54)/100</f>
        <v>#REF!</v>
      </c>
      <c r="I57" s="430">
        <f>(I53*I54)/100</f>
        <v>37.346847714275974</v>
      </c>
      <c r="J57" s="430">
        <f>(J53*J54)/100</f>
        <v>40.060538339808424</v>
      </c>
      <c r="K57" s="430">
        <f>(K53*K54)/100</f>
        <v>43.722787161970111</v>
      </c>
      <c r="N57" s="1086"/>
    </row>
    <row r="58" spans="1:14" ht="21" customHeight="1">
      <c r="A58" s="393" t="s">
        <v>1241</v>
      </c>
      <c r="B58" s="393"/>
      <c r="C58" s="510">
        <f>SUM(C56:C57)+0.01</f>
        <v>44.641063999999993</v>
      </c>
      <c r="D58" s="510">
        <f>SUM(D56:D57)</f>
        <v>43.966289359157621</v>
      </c>
      <c r="E58" s="510">
        <f>SUM(E56:E57)</f>
        <v>45.78</v>
      </c>
      <c r="F58" s="510">
        <f>SUM(F56:F57)</f>
        <v>45.916448693165435</v>
      </c>
      <c r="G58" s="393"/>
      <c r="H58" s="510" t="e">
        <f>SUM(H56:H57)</f>
        <v>#REF!</v>
      </c>
      <c r="I58" s="531">
        <f>SUM(I56:I57)</f>
        <v>80.119684150110402</v>
      </c>
      <c r="J58" s="531">
        <f>SUM(J56:J57)</f>
        <v>84.209540482498568</v>
      </c>
      <c r="K58" s="531">
        <f>SUM(K56:K57)</f>
        <v>89.150002155242419</v>
      </c>
    </row>
    <row r="59" spans="1:14" ht="21" customHeight="1">
      <c r="D59" s="527">
        <v>43.697587220545728</v>
      </c>
    </row>
    <row r="60" spans="1:14" s="618" customFormat="1" ht="21" customHeight="1">
      <c r="B60" s="722"/>
      <c r="I60" s="809"/>
    </row>
    <row r="61" spans="1:14" ht="21" customHeight="1"/>
    <row r="62" spans="1:14" ht="21" customHeight="1">
      <c r="J62" s="2181" t="s">
        <v>401</v>
      </c>
      <c r="K62" s="2181"/>
      <c r="L62" s="2182"/>
    </row>
    <row r="63" spans="1:14" ht="21" customHeight="1"/>
    <row r="64" spans="1:14" ht="21" customHeight="1"/>
    <row r="65" ht="21" customHeight="1"/>
    <row r="66" ht="21" customHeight="1"/>
    <row r="67" ht="21" customHeight="1"/>
    <row r="68" ht="21" customHeight="1"/>
    <row r="69" ht="21" customHeight="1"/>
    <row r="70" ht="21" customHeight="1"/>
    <row r="71" ht="21" customHeight="1"/>
    <row r="72" ht="21" customHeight="1"/>
  </sheetData>
  <mergeCells count="24">
    <mergeCell ref="J2:K2"/>
    <mergeCell ref="A39:A40"/>
    <mergeCell ref="C39:D39"/>
    <mergeCell ref="E39:H39"/>
    <mergeCell ref="J39:K39"/>
    <mergeCell ref="I4:K4"/>
    <mergeCell ref="A1:H1"/>
    <mergeCell ref="G2:H2"/>
    <mergeCell ref="G3:H3"/>
    <mergeCell ref="A4:A5"/>
    <mergeCell ref="C4:D4"/>
    <mergeCell ref="E4:H4"/>
    <mergeCell ref="A48:A49"/>
    <mergeCell ref="C48:D48"/>
    <mergeCell ref="H38:J38"/>
    <mergeCell ref="E6:K35"/>
    <mergeCell ref="J62:L62"/>
    <mergeCell ref="E48:H48"/>
    <mergeCell ref="H47:J47"/>
    <mergeCell ref="E41:K45"/>
    <mergeCell ref="B39:B40"/>
    <mergeCell ref="B48:B49"/>
    <mergeCell ref="I48:K48"/>
    <mergeCell ref="A36:D36"/>
  </mergeCells>
  <pageMargins left="0.70866141732283472" right="0.70866141732283472" top="0.74803149606299213" bottom="0.74803149606299213" header="0.31496062992125984" footer="0.31496062992125984"/>
  <pageSetup paperSize="9" scale="65" fitToHeight="0" orientation="landscape" r:id="rId1"/>
  <rowBreaks count="1" manualBreakCount="1">
    <brk id="35" max="11"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4"/>
    <pageSetUpPr fitToPage="1"/>
  </sheetPr>
  <dimension ref="A1:H20"/>
  <sheetViews>
    <sheetView showGridLines="0" view="pageBreakPreview" zoomScale="80" zoomScaleNormal="100" zoomScaleSheetLayoutView="80" workbookViewId="0">
      <selection activeCell="A24" sqref="A24"/>
    </sheetView>
  </sheetViews>
  <sheetFormatPr defaultColWidth="9.140625" defaultRowHeight="15"/>
  <cols>
    <col min="1" max="1" width="34.7109375" style="253" customWidth="1"/>
    <col min="2" max="6" width="16.7109375" style="253" customWidth="1"/>
    <col min="7" max="16384" width="9.140625" style="253"/>
  </cols>
  <sheetData>
    <row r="1" spans="1:7" ht="21" customHeight="1">
      <c r="A1" s="2249" t="s">
        <v>1158</v>
      </c>
      <c r="B1" s="2249"/>
      <c r="C1" s="2249"/>
      <c r="D1" s="2249"/>
      <c r="E1" s="2249"/>
      <c r="F1" s="2249"/>
    </row>
    <row r="2" spans="1:7" ht="21" customHeight="1">
      <c r="A2" s="227" t="s">
        <v>336</v>
      </c>
      <c r="B2" s="227"/>
      <c r="C2" s="227"/>
      <c r="D2" s="227"/>
      <c r="E2" s="227"/>
      <c r="F2" s="601" t="s">
        <v>796</v>
      </c>
    </row>
    <row r="3" spans="1:7" ht="21" customHeight="1">
      <c r="F3" s="661" t="s">
        <v>320</v>
      </c>
    </row>
    <row r="4" spans="1:7" ht="45.75" customHeight="1">
      <c r="A4" s="2250" t="s">
        <v>48</v>
      </c>
      <c r="B4" s="1242" t="s">
        <v>1108</v>
      </c>
      <c r="C4" s="1242" t="s">
        <v>1173</v>
      </c>
      <c r="D4" s="1242" t="s">
        <v>1841</v>
      </c>
      <c r="E4" s="1242" t="s">
        <v>1842</v>
      </c>
      <c r="F4" s="1242" t="s">
        <v>1843</v>
      </c>
    </row>
    <row r="5" spans="1:7" ht="21" customHeight="1">
      <c r="A5" s="2250"/>
      <c r="B5" s="662" t="s">
        <v>230</v>
      </c>
      <c r="C5" s="603" t="s">
        <v>1562</v>
      </c>
      <c r="D5" s="662" t="s">
        <v>1166</v>
      </c>
      <c r="E5" s="662" t="s">
        <v>1166</v>
      </c>
      <c r="F5" s="662" t="s">
        <v>1166</v>
      </c>
    </row>
    <row r="6" spans="1:7" ht="32.25" customHeight="1">
      <c r="A6" s="149" t="s">
        <v>419</v>
      </c>
      <c r="B6" s="663">
        <v>4</v>
      </c>
      <c r="C6" s="663">
        <f>B6</f>
        <v>4</v>
      </c>
      <c r="D6" s="663">
        <f>C6</f>
        <v>4</v>
      </c>
      <c r="E6" s="663">
        <f t="shared" ref="E6:F6" si="0">D6</f>
        <v>4</v>
      </c>
      <c r="F6" s="663">
        <f t="shared" si="0"/>
        <v>4</v>
      </c>
    </row>
    <row r="7" spans="1:7" ht="21" customHeight="1">
      <c r="A7" s="149" t="s">
        <v>221</v>
      </c>
      <c r="B7" s="664"/>
      <c r="C7" s="664"/>
      <c r="D7" s="664"/>
      <c r="E7" s="664"/>
      <c r="F7" s="664"/>
      <c r="G7" s="254"/>
    </row>
    <row r="8" spans="1:7" ht="21" customHeight="1">
      <c r="A8" s="149" t="s">
        <v>794</v>
      </c>
      <c r="B8" s="664"/>
      <c r="C8" s="664"/>
      <c r="D8" s="664"/>
      <c r="E8" s="664"/>
      <c r="F8" s="664"/>
      <c r="G8" s="254"/>
    </row>
    <row r="9" spans="1:7" ht="21" customHeight="1">
      <c r="A9" s="149" t="s">
        <v>795</v>
      </c>
      <c r="B9" s="664"/>
      <c r="C9" s="664"/>
      <c r="D9" s="664"/>
      <c r="E9" s="664"/>
      <c r="F9" s="664"/>
      <c r="G9" s="254"/>
    </row>
    <row r="10" spans="1:7" ht="21" customHeight="1">
      <c r="A10" s="665"/>
      <c r="B10" s="254"/>
      <c r="C10" s="254"/>
      <c r="D10" s="254"/>
      <c r="E10" s="254"/>
      <c r="F10" s="254"/>
      <c r="G10" s="254"/>
    </row>
    <row r="11" spans="1:7" ht="21" customHeight="1"/>
    <row r="12" spans="1:7" ht="21" customHeight="1">
      <c r="F12" s="666" t="s">
        <v>401</v>
      </c>
    </row>
    <row r="13" spans="1:7" ht="21" customHeight="1"/>
    <row r="14" spans="1:7" ht="21" hidden="1" customHeight="1">
      <c r="A14" s="252" t="s">
        <v>187</v>
      </c>
      <c r="B14" s="252"/>
      <c r="C14" s="252"/>
      <c r="D14" s="252"/>
      <c r="E14" s="252"/>
      <c r="F14" s="252"/>
      <c r="G14" s="252"/>
    </row>
    <row r="15" spans="1:7" ht="21" hidden="1" customHeight="1">
      <c r="A15" s="100">
        <v>1</v>
      </c>
      <c r="B15" s="2254" t="s">
        <v>342</v>
      </c>
      <c r="C15" s="2255"/>
      <c r="D15" s="2255"/>
      <c r="E15" s="2255"/>
      <c r="F15" s="2255"/>
      <c r="G15" s="2256"/>
    </row>
    <row r="16" spans="1:7" ht="21" hidden="1" customHeight="1">
      <c r="A16" s="667">
        <v>2</v>
      </c>
      <c r="B16" s="668" t="s">
        <v>337</v>
      </c>
      <c r="C16" s="669"/>
      <c r="D16" s="669"/>
      <c r="E16" s="669"/>
      <c r="F16" s="669"/>
      <c r="G16" s="670"/>
    </row>
    <row r="17" spans="1:8" ht="21" hidden="1" customHeight="1">
      <c r="A17" s="100">
        <v>3</v>
      </c>
      <c r="B17" s="100" t="s">
        <v>333</v>
      </c>
      <c r="C17" s="320"/>
      <c r="D17" s="1258"/>
      <c r="E17" s="1258"/>
      <c r="F17" s="320"/>
      <c r="G17" s="671"/>
    </row>
    <row r="18" spans="1:8" ht="21" hidden="1" customHeight="1">
      <c r="A18" s="100">
        <v>4</v>
      </c>
      <c r="B18" s="2251" t="s">
        <v>338</v>
      </c>
      <c r="C18" s="2252"/>
      <c r="D18" s="2252"/>
      <c r="E18" s="2252"/>
      <c r="F18" s="2252"/>
      <c r="G18" s="2253"/>
    </row>
    <row r="19" spans="1:8" ht="21" hidden="1" customHeight="1">
      <c r="A19" s="100">
        <v>5</v>
      </c>
      <c r="B19" s="672"/>
      <c r="C19" s="320"/>
      <c r="D19" s="1258"/>
      <c r="E19" s="1258"/>
      <c r="F19" s="320"/>
      <c r="G19" s="671"/>
      <c r="H19" s="252"/>
    </row>
    <row r="20" spans="1:8" hidden="1"/>
  </sheetData>
  <mergeCells count="4">
    <mergeCell ref="A1:F1"/>
    <mergeCell ref="A4:A5"/>
    <mergeCell ref="B18:G18"/>
    <mergeCell ref="B15:G15"/>
  </mergeCells>
  <phoneticPr fontId="205" type="noConversion"/>
  <pageMargins left="0.70866141732283472" right="0.70866141732283472" top="0.74803149606299213" bottom="0.74803149606299213" header="0.31496062992125984" footer="0.31496062992125984"/>
  <pageSetup paperSize="9" scale="68"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31"/>
  <sheetViews>
    <sheetView showGridLines="0" view="pageBreakPreview" topLeftCell="B2" zoomScale="70" zoomScaleNormal="80" zoomScaleSheetLayoutView="70" workbookViewId="0">
      <selection activeCell="D20" sqref="D20"/>
    </sheetView>
  </sheetViews>
  <sheetFormatPr defaultColWidth="9.140625" defaultRowHeight="15.75"/>
  <cols>
    <col min="1" max="1" width="9.140625" style="74"/>
    <col min="2" max="2" width="42.28515625" style="74" customWidth="1"/>
    <col min="3" max="3" width="13.28515625" style="74" customWidth="1"/>
    <col min="4" max="4" width="13.140625" style="74" customWidth="1"/>
    <col min="5" max="5" width="13.28515625" style="74" customWidth="1"/>
    <col min="6" max="7" width="13.140625" style="74" hidden="1" customWidth="1"/>
    <col min="8" max="8" width="13.140625" style="74" customWidth="1"/>
    <col min="9" max="9" width="13.140625" style="1057" customWidth="1"/>
    <col min="10" max="10" width="13.28515625" style="74" customWidth="1"/>
    <col min="11" max="11" width="16.140625" style="74" customWidth="1"/>
    <col min="12" max="16384" width="9.140625" style="74"/>
  </cols>
  <sheetData>
    <row r="1" spans="1:11">
      <c r="A1" s="2195" t="s">
        <v>1158</v>
      </c>
      <c r="B1" s="2195"/>
      <c r="C1" s="2195"/>
      <c r="D1" s="2195"/>
      <c r="E1" s="2195"/>
      <c r="F1" s="2195"/>
      <c r="G1" s="2195"/>
      <c r="H1" s="2195"/>
      <c r="I1" s="1058"/>
    </row>
    <row r="2" spans="1:11">
      <c r="A2" s="2259" t="s">
        <v>34</v>
      </c>
      <c r="B2" s="2259"/>
      <c r="C2" s="490"/>
      <c r="D2" s="490"/>
      <c r="E2" s="490"/>
      <c r="F2" s="490"/>
      <c r="G2" s="1987"/>
      <c r="H2" s="1987"/>
      <c r="I2" s="1056"/>
      <c r="J2" s="1987" t="s">
        <v>800</v>
      </c>
      <c r="K2" s="1987"/>
    </row>
    <row r="3" spans="1:11">
      <c r="A3" s="534"/>
      <c r="B3" s="534"/>
      <c r="C3" s="534"/>
      <c r="D3" s="534"/>
      <c r="E3" s="534"/>
      <c r="F3" s="534"/>
      <c r="G3" s="2258" t="s">
        <v>320</v>
      </c>
      <c r="H3" s="2258"/>
      <c r="I3" s="539"/>
    </row>
    <row r="4" spans="1:11" ht="45.75" customHeight="1">
      <c r="A4" s="2257" t="s">
        <v>150</v>
      </c>
      <c r="B4" s="1747" t="s">
        <v>48</v>
      </c>
      <c r="C4" s="1820" t="s">
        <v>1846</v>
      </c>
      <c r="D4" s="1820"/>
      <c r="E4" s="2207" t="s">
        <v>1847</v>
      </c>
      <c r="F4" s="2207"/>
      <c r="G4" s="2207"/>
      <c r="H4" s="2207"/>
      <c r="I4" s="1829" t="s">
        <v>1851</v>
      </c>
      <c r="J4" s="1830"/>
      <c r="K4" s="1831"/>
    </row>
    <row r="5" spans="1:11" ht="47.25">
      <c r="A5" s="2257"/>
      <c r="B5" s="1747"/>
      <c r="C5" s="361" t="s">
        <v>1160</v>
      </c>
      <c r="D5" s="282" t="s">
        <v>230</v>
      </c>
      <c r="E5" s="361" t="s">
        <v>1160</v>
      </c>
      <c r="F5" s="361" t="s">
        <v>1163</v>
      </c>
      <c r="G5" s="361" t="s">
        <v>1164</v>
      </c>
      <c r="H5" s="363" t="s">
        <v>1165</v>
      </c>
      <c r="I5" s="1059" t="s">
        <v>1841</v>
      </c>
      <c r="J5" s="1054" t="s">
        <v>1842</v>
      </c>
      <c r="K5" s="1054" t="s">
        <v>1843</v>
      </c>
    </row>
    <row r="6" spans="1:11">
      <c r="A6" s="77">
        <v>1</v>
      </c>
      <c r="B6" s="136" t="s">
        <v>2181</v>
      </c>
      <c r="C6" s="999"/>
      <c r="D6" s="999">
        <f>'[128]Sch P&amp;L 20-21'!$B$44/10^7*0</f>
        <v>0</v>
      </c>
      <c r="E6" s="999"/>
      <c r="F6" s="999"/>
      <c r="G6" s="999"/>
      <c r="H6" s="999">
        <f t="shared" ref="H6:H18" si="0">1.05*D6</f>
        <v>0</v>
      </c>
      <c r="I6" s="999">
        <f>1.05*H6</f>
        <v>0</v>
      </c>
      <c r="J6" s="999">
        <f t="shared" ref="J6:K6" si="1">1.05*I6</f>
        <v>0</v>
      </c>
      <c r="K6" s="999">
        <f t="shared" si="1"/>
        <v>0</v>
      </c>
    </row>
    <row r="7" spans="1:11">
      <c r="A7" s="77">
        <v>2</v>
      </c>
      <c r="B7" s="136" t="s">
        <v>1260</v>
      </c>
      <c r="C7" s="999"/>
      <c r="D7" s="999">
        <f>'[128]Sch P&amp;L 20-21'!$B$40/10^7</f>
        <v>6.9283332</v>
      </c>
      <c r="E7" s="999"/>
      <c r="F7" s="999"/>
      <c r="G7" s="999"/>
      <c r="H7" s="999">
        <f t="shared" si="0"/>
        <v>7.27474986</v>
      </c>
      <c r="I7" s="999">
        <f t="shared" ref="I7:K19" si="2">1.05*H7</f>
        <v>7.6384873530000004</v>
      </c>
      <c r="J7" s="999">
        <f t="shared" si="2"/>
        <v>8.0204117206500012</v>
      </c>
      <c r="K7" s="999">
        <f t="shared" si="2"/>
        <v>8.421432306682501</v>
      </c>
    </row>
    <row r="8" spans="1:11">
      <c r="A8" s="77">
        <f>+A7+1</f>
        <v>3</v>
      </c>
      <c r="B8" s="136" t="s">
        <v>1246</v>
      </c>
      <c r="C8" s="999"/>
      <c r="D8" s="999">
        <f>'[128]Sch P&amp;L 20-21'!$B$43/10^7</f>
        <v>0.29222942400000002</v>
      </c>
      <c r="E8" s="999"/>
      <c r="F8" s="999"/>
      <c r="G8" s="999"/>
      <c r="H8" s="999">
        <f t="shared" si="0"/>
        <v>0.30684089520000002</v>
      </c>
      <c r="I8" s="999">
        <f t="shared" si="2"/>
        <v>0.32218293996000003</v>
      </c>
      <c r="J8" s="999">
        <f t="shared" si="2"/>
        <v>0.33829208695800006</v>
      </c>
      <c r="K8" s="999">
        <f t="shared" si="2"/>
        <v>0.3552066913059001</v>
      </c>
    </row>
    <row r="9" spans="1:11">
      <c r="A9" s="77">
        <f t="shared" ref="A9:A16" si="3">+A8+1</f>
        <v>4</v>
      </c>
      <c r="B9" s="151" t="s">
        <v>924</v>
      </c>
      <c r="C9" s="1000"/>
      <c r="D9" s="999">
        <f>'[128]Sch P&amp;L 20-21'!$B$35/10^7</f>
        <v>35.435168315999995</v>
      </c>
      <c r="E9" s="1000"/>
      <c r="F9" s="1000"/>
      <c r="G9" s="1000"/>
      <c r="H9" s="999">
        <f t="shared" si="0"/>
        <v>37.206926731799996</v>
      </c>
      <c r="I9" s="999">
        <f t="shared" si="2"/>
        <v>39.067273068389994</v>
      </c>
      <c r="J9" s="999">
        <f t="shared" si="2"/>
        <v>41.020636721809495</v>
      </c>
      <c r="K9" s="999">
        <f t="shared" si="2"/>
        <v>43.071668557899969</v>
      </c>
    </row>
    <row r="10" spans="1:11">
      <c r="A10" s="77">
        <f t="shared" si="3"/>
        <v>5</v>
      </c>
      <c r="B10" s="151" t="s">
        <v>1248</v>
      </c>
      <c r="C10" s="1000"/>
      <c r="D10" s="999">
        <f>'[128]Sch P&amp;L 20-21'!$B$25/10^7</f>
        <v>0.73943760000000003</v>
      </c>
      <c r="E10" s="1000"/>
      <c r="F10" s="1000"/>
      <c r="G10" s="1000"/>
      <c r="H10" s="999">
        <f t="shared" si="0"/>
        <v>0.7764094800000001</v>
      </c>
      <c r="I10" s="999">
        <f t="shared" si="2"/>
        <v>0.81522995400000009</v>
      </c>
      <c r="J10" s="999">
        <f t="shared" si="2"/>
        <v>0.85599145170000013</v>
      </c>
      <c r="K10" s="999">
        <f t="shared" si="2"/>
        <v>0.89879102428500013</v>
      </c>
    </row>
    <row r="11" spans="1:11">
      <c r="A11" s="77">
        <f t="shared" si="3"/>
        <v>6</v>
      </c>
      <c r="B11" s="136" t="s">
        <v>797</v>
      </c>
      <c r="C11" s="1000"/>
      <c r="D11" s="999">
        <v>0</v>
      </c>
      <c r="E11" s="1000"/>
      <c r="F11" s="1000"/>
      <c r="G11" s="1000"/>
      <c r="H11" s="999">
        <f t="shared" si="0"/>
        <v>0</v>
      </c>
      <c r="I11" s="999">
        <f t="shared" si="2"/>
        <v>0</v>
      </c>
      <c r="J11" s="999">
        <f t="shared" si="2"/>
        <v>0</v>
      </c>
      <c r="K11" s="999">
        <f t="shared" si="2"/>
        <v>0</v>
      </c>
    </row>
    <row r="12" spans="1:11">
      <c r="A12" s="77">
        <f t="shared" si="3"/>
        <v>7</v>
      </c>
      <c r="B12" s="136" t="s">
        <v>1245</v>
      </c>
      <c r="C12" s="1000"/>
      <c r="D12" s="999">
        <f>'[128]Sch P&amp;L 20-21'!$B$36/10^7</f>
        <v>7.7129761999999999</v>
      </c>
      <c r="E12" s="1000"/>
      <c r="F12" s="1000"/>
      <c r="G12" s="1000"/>
      <c r="H12" s="999">
        <f t="shared" si="0"/>
        <v>8.098625010000001</v>
      </c>
      <c r="I12" s="999">
        <f t="shared" si="2"/>
        <v>8.5035562605000017</v>
      </c>
      <c r="J12" s="999">
        <f t="shared" si="2"/>
        <v>8.9287340735250016</v>
      </c>
      <c r="K12" s="999">
        <f t="shared" si="2"/>
        <v>9.3751707772012516</v>
      </c>
    </row>
    <row r="13" spans="1:11">
      <c r="A13" s="77">
        <f t="shared" si="3"/>
        <v>8</v>
      </c>
      <c r="B13" s="136" t="s">
        <v>1247</v>
      </c>
      <c r="C13" s="1000"/>
      <c r="D13" s="999">
        <f>'[128]Sch P&amp;L 20-21'!$B$24/10^7</f>
        <v>5.5318243549999995</v>
      </c>
      <c r="E13" s="1000"/>
      <c r="F13" s="1000"/>
      <c r="G13" s="1000"/>
      <c r="H13" s="999">
        <f t="shared" si="0"/>
        <v>5.8084155727499995</v>
      </c>
      <c r="I13" s="999">
        <f t="shared" si="2"/>
        <v>6.0988363513874999</v>
      </c>
      <c r="J13" s="999">
        <f t="shared" si="2"/>
        <v>6.4037781689568751</v>
      </c>
      <c r="K13" s="999">
        <f t="shared" si="2"/>
        <v>6.7239670774047191</v>
      </c>
    </row>
    <row r="14" spans="1:11" ht="31.5">
      <c r="A14" s="77">
        <f t="shared" si="3"/>
        <v>9</v>
      </c>
      <c r="B14" s="151" t="s">
        <v>798</v>
      </c>
      <c r="C14" s="1001"/>
      <c r="D14" s="999">
        <f>'[128]Sch P&amp;L 20-21'!$B$34/10^7</f>
        <v>1.3200000000000001E-5</v>
      </c>
      <c r="E14" s="1001"/>
      <c r="F14" s="999"/>
      <c r="G14" s="999"/>
      <c r="H14" s="999">
        <f t="shared" si="0"/>
        <v>1.3860000000000001E-5</v>
      </c>
      <c r="I14" s="999">
        <f t="shared" si="2"/>
        <v>1.4553000000000001E-5</v>
      </c>
      <c r="J14" s="999">
        <f t="shared" si="2"/>
        <v>1.5280650000000001E-5</v>
      </c>
      <c r="K14" s="999">
        <f t="shared" si="2"/>
        <v>1.6044682500000001E-5</v>
      </c>
    </row>
    <row r="15" spans="1:11">
      <c r="A15" s="77">
        <f t="shared" si="3"/>
        <v>10</v>
      </c>
      <c r="B15" s="151" t="s">
        <v>1839</v>
      </c>
      <c r="C15" s="1001"/>
      <c r="D15" s="999">
        <f>'[128]Sch P&amp;L 20-21'!$B$23/10^7</f>
        <v>2.0832268549999995</v>
      </c>
      <c r="E15" s="1001"/>
      <c r="F15" s="999"/>
      <c r="G15" s="999"/>
      <c r="H15" s="999">
        <f t="shared" si="0"/>
        <v>2.1873881977499994</v>
      </c>
      <c r="I15" s="999">
        <f t="shared" si="2"/>
        <v>2.2967576076374994</v>
      </c>
      <c r="J15" s="999">
        <f t="shared" si="2"/>
        <v>2.4115954880193744</v>
      </c>
      <c r="K15" s="999">
        <f t="shared" si="2"/>
        <v>2.5321752624203433</v>
      </c>
    </row>
    <row r="16" spans="1:11">
      <c r="A16" s="77">
        <f t="shared" si="3"/>
        <v>11</v>
      </c>
      <c r="B16" s="535" t="s">
        <v>139</v>
      </c>
      <c r="C16" s="999"/>
      <c r="D16" s="999"/>
      <c r="E16" s="1001"/>
      <c r="F16" s="999"/>
      <c r="G16" s="999"/>
      <c r="H16" s="999">
        <f t="shared" si="0"/>
        <v>0</v>
      </c>
      <c r="I16" s="999">
        <f t="shared" si="2"/>
        <v>0</v>
      </c>
      <c r="J16" s="999">
        <f t="shared" si="2"/>
        <v>0</v>
      </c>
      <c r="K16" s="999">
        <f t="shared" si="2"/>
        <v>0</v>
      </c>
    </row>
    <row r="17" spans="1:16">
      <c r="A17" s="536"/>
      <c r="B17" s="537" t="s">
        <v>928</v>
      </c>
      <c r="C17" s="999"/>
      <c r="D17" s="999">
        <f>'[128]Sch P&amp;L 20-21'!$B$41/10^7</f>
        <v>0.79105792500000005</v>
      </c>
      <c r="E17" s="1001"/>
      <c r="F17" s="999"/>
      <c r="G17" s="999"/>
      <c r="H17" s="999">
        <f t="shared" si="0"/>
        <v>0.83061082125000008</v>
      </c>
      <c r="I17" s="999">
        <f t="shared" si="2"/>
        <v>0.87214136231250017</v>
      </c>
      <c r="J17" s="999">
        <f t="shared" si="2"/>
        <v>0.91574843042812526</v>
      </c>
      <c r="K17" s="999">
        <f t="shared" si="2"/>
        <v>0.96153585194953162</v>
      </c>
    </row>
    <row r="18" spans="1:16">
      <c r="A18" s="536"/>
      <c r="B18" s="537" t="s">
        <v>929</v>
      </c>
      <c r="C18" s="999"/>
      <c r="D18" s="999">
        <f>'[128]Sch P&amp;L 20-21'!$B$42/10^7</f>
        <v>0.16650000000000001</v>
      </c>
      <c r="E18" s="1001"/>
      <c r="F18" s="999"/>
      <c r="G18" s="999"/>
      <c r="H18" s="999">
        <f t="shared" si="0"/>
        <v>0.17482500000000001</v>
      </c>
      <c r="I18" s="999">
        <f t="shared" si="2"/>
        <v>0.18356625000000001</v>
      </c>
      <c r="J18" s="999">
        <f t="shared" si="2"/>
        <v>0.19274456250000002</v>
      </c>
      <c r="K18" s="999">
        <f t="shared" si="2"/>
        <v>0.20238179062500003</v>
      </c>
    </row>
    <row r="19" spans="1:16">
      <c r="A19" s="536"/>
      <c r="B19" s="537" t="s">
        <v>930</v>
      </c>
      <c r="C19" s="514"/>
      <c r="D19" s="514">
        <v>0</v>
      </c>
      <c r="E19" s="513"/>
      <c r="F19" s="514"/>
      <c r="G19" s="514"/>
      <c r="H19" s="250">
        <f t="shared" ref="H19" ca="1" si="4">D19*(1+$H$21)</f>
        <v>0</v>
      </c>
      <c r="I19" s="999">
        <f t="shared" ca="1" si="2"/>
        <v>0</v>
      </c>
      <c r="J19" s="999">
        <f t="shared" ca="1" si="2"/>
        <v>0</v>
      </c>
      <c r="K19" s="999">
        <f t="shared" ca="1" si="2"/>
        <v>0</v>
      </c>
    </row>
    <row r="20" spans="1:16" s="1089" customFormat="1" ht="16.5" thickBot="1">
      <c r="A20" s="1085"/>
      <c r="B20" s="1084" t="s">
        <v>68</v>
      </c>
      <c r="C20" s="1083">
        <v>133.69999999999999</v>
      </c>
      <c r="D20" s="846">
        <f>SUM(D6:D19)</f>
        <v>59.680767074999991</v>
      </c>
      <c r="E20" s="427">
        <v>108.39</v>
      </c>
      <c r="F20" s="1083"/>
      <c r="G20" s="1083"/>
      <c r="H20" s="846">
        <f ca="1">SUM(H6:H19)</f>
        <v>62.664805428749986</v>
      </c>
      <c r="I20" s="846">
        <f ca="1">SUM(I6:I19)</f>
        <v>65.798045700187501</v>
      </c>
      <c r="J20" s="846">
        <f ca="1">SUM(J6:J19)</f>
        <v>69.087947985196863</v>
      </c>
      <c r="K20" s="846">
        <f ca="1">SUM(K6:K19)</f>
        <v>72.542345384456709</v>
      </c>
    </row>
    <row r="21" spans="1:16" ht="16.5" thickTop="1">
      <c r="A21" s="538"/>
      <c r="B21" s="539"/>
      <c r="C21" s="539"/>
      <c r="D21" s="735"/>
      <c r="E21" s="539"/>
      <c r="F21" s="539"/>
      <c r="G21" s="539"/>
      <c r="H21" s="517">
        <f ca="1">H20-D20</f>
        <v>2.9840383537499946</v>
      </c>
      <c r="I21" s="517">
        <f ca="1">I20-H20</f>
        <v>3.1332402714375149</v>
      </c>
      <c r="J21" s="517">
        <f t="shared" ref="J21:K21" ca="1" si="5">J20-I20</f>
        <v>3.2899022850093615</v>
      </c>
      <c r="K21" s="517">
        <f t="shared" ca="1" si="5"/>
        <v>3.4543973992598467</v>
      </c>
      <c r="P21" s="527"/>
    </row>
    <row r="23" spans="1:16" ht="15.75" customHeight="1">
      <c r="A23" s="2257" t="s">
        <v>150</v>
      </c>
      <c r="B23" s="1747" t="s">
        <v>48</v>
      </c>
      <c r="C23" s="1820" t="s">
        <v>1684</v>
      </c>
      <c r="D23" s="1820"/>
      <c r="E23" s="2207" t="s">
        <v>1685</v>
      </c>
      <c r="F23" s="2207"/>
      <c r="G23" s="2207"/>
      <c r="H23" s="2207"/>
      <c r="I23" s="1820" t="s">
        <v>747</v>
      </c>
      <c r="J23" s="1820"/>
      <c r="K23" s="1820"/>
    </row>
    <row r="24" spans="1:16" ht="47.25">
      <c r="A24" s="2257"/>
      <c r="B24" s="1747"/>
      <c r="C24" s="361" t="s">
        <v>1160</v>
      </c>
      <c r="D24" s="282" t="s">
        <v>230</v>
      </c>
      <c r="E24" s="361" t="s">
        <v>1160</v>
      </c>
      <c r="F24" s="361" t="s">
        <v>1163</v>
      </c>
      <c r="G24" s="361" t="s">
        <v>1164</v>
      </c>
      <c r="H24" s="363" t="s">
        <v>1165</v>
      </c>
      <c r="I24" s="1105" t="s">
        <v>1841</v>
      </c>
      <c r="J24" s="1101" t="s">
        <v>1842</v>
      </c>
      <c r="K24" s="1101" t="s">
        <v>1843</v>
      </c>
    </row>
    <row r="25" spans="1:16">
      <c r="A25" s="130">
        <v>1</v>
      </c>
      <c r="B25" s="130" t="s">
        <v>1242</v>
      </c>
      <c r="C25" s="130">
        <v>127.33</v>
      </c>
      <c r="D25" s="641">
        <f>D20-D20*5%</f>
        <v>56.69672872124999</v>
      </c>
      <c r="E25" s="444">
        <v>103.23</v>
      </c>
      <c r="F25" s="130"/>
      <c r="G25" s="130"/>
      <c r="H25" s="444">
        <f>D27</f>
        <v>59.680767074999991</v>
      </c>
      <c r="I25" s="444">
        <f>H27</f>
        <v>62.664805428749993</v>
      </c>
      <c r="J25" s="444">
        <f t="shared" ref="J25:K25" si="6">I27</f>
        <v>65.798045700187487</v>
      </c>
      <c r="K25" s="444">
        <f t="shared" si="6"/>
        <v>69.087947985196863</v>
      </c>
    </row>
    <row r="26" spans="1:16">
      <c r="A26" s="130">
        <v>2</v>
      </c>
      <c r="B26" s="130" t="s">
        <v>1243</v>
      </c>
      <c r="C26" s="430">
        <f>C25*5%</f>
        <v>6.3665000000000003</v>
      </c>
      <c r="D26" s="276">
        <f>D25*5%</f>
        <v>2.8348364360624996</v>
      </c>
      <c r="E26" s="430">
        <f>E25*5%</f>
        <v>5.1615000000000002</v>
      </c>
      <c r="F26" s="430"/>
      <c r="G26" s="430"/>
      <c r="H26" s="430">
        <f>H25*5%</f>
        <v>2.9840383537499999</v>
      </c>
      <c r="I26" s="430">
        <f t="shared" ref="I26:K26" si="7">I25*5%</f>
        <v>3.1332402714374998</v>
      </c>
      <c r="J26" s="430">
        <f t="shared" si="7"/>
        <v>3.2899022850093744</v>
      </c>
      <c r="K26" s="430">
        <f t="shared" si="7"/>
        <v>3.4543973992598431</v>
      </c>
    </row>
    <row r="27" spans="1:16">
      <c r="A27" s="130">
        <v>3</v>
      </c>
      <c r="B27" s="130" t="s">
        <v>1244</v>
      </c>
      <c r="C27" s="444">
        <f>C25+C26</f>
        <v>133.69649999999999</v>
      </c>
      <c r="D27" s="641">
        <f>D20</f>
        <v>59.680767074999991</v>
      </c>
      <c r="E27" s="444">
        <f>E25+E26</f>
        <v>108.39150000000001</v>
      </c>
      <c r="F27" s="444"/>
      <c r="G27" s="444"/>
      <c r="H27" s="444">
        <f>H25+H26</f>
        <v>62.664805428749993</v>
      </c>
      <c r="I27" s="444">
        <f t="shared" ref="I27:K27" si="8">I25+I26</f>
        <v>65.798045700187487</v>
      </c>
      <c r="J27" s="444">
        <f t="shared" si="8"/>
        <v>69.087947985196863</v>
      </c>
      <c r="K27" s="444">
        <f t="shared" si="8"/>
        <v>72.542345384456709</v>
      </c>
    </row>
    <row r="29" spans="1:16" s="618" customFormat="1">
      <c r="I29" s="1057"/>
    </row>
    <row r="31" spans="1:16">
      <c r="H31" s="666" t="s">
        <v>401</v>
      </c>
      <c r="I31" s="666"/>
    </row>
  </sheetData>
  <mergeCells count="15">
    <mergeCell ref="A1:H1"/>
    <mergeCell ref="G2:H2"/>
    <mergeCell ref="G3:H3"/>
    <mergeCell ref="A4:A5"/>
    <mergeCell ref="B4:B5"/>
    <mergeCell ref="C4:D4"/>
    <mergeCell ref="A2:B2"/>
    <mergeCell ref="E4:H4"/>
    <mergeCell ref="J2:K2"/>
    <mergeCell ref="A23:A24"/>
    <mergeCell ref="B23:B24"/>
    <mergeCell ref="C23:D23"/>
    <mergeCell ref="E23:H23"/>
    <mergeCell ref="I4:K4"/>
    <mergeCell ref="I23:K23"/>
  </mergeCells>
  <pageMargins left="0.70866141732283472" right="0.70866141732283472" top="0.74803149606299213" bottom="0.74803149606299213" header="0.31496062992125984" footer="0.31496062992125984"/>
  <pageSetup paperSize="9" scale="5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80"/>
  <sheetViews>
    <sheetView showGridLines="0" view="pageBreakPreview" topLeftCell="B1" zoomScale="70" zoomScaleNormal="100" zoomScaleSheetLayoutView="70" workbookViewId="0">
      <selection activeCell="D12" sqref="D12"/>
    </sheetView>
  </sheetViews>
  <sheetFormatPr defaultColWidth="9.140625" defaultRowHeight="15.75"/>
  <cols>
    <col min="1" max="1" width="9.140625" style="74"/>
    <col min="2" max="2" width="34.5703125" style="74" customWidth="1"/>
    <col min="3" max="5" width="12.7109375" style="74" customWidth="1"/>
    <col min="6" max="7" width="12.7109375" style="74" hidden="1" customWidth="1"/>
    <col min="8" max="8" width="12.7109375" style="74" customWidth="1"/>
    <col min="9" max="9" width="16.140625" style="967" customWidth="1"/>
    <col min="10" max="10" width="16.28515625" style="74" customWidth="1"/>
    <col min="11" max="11" width="16.140625" style="74" customWidth="1"/>
    <col min="12" max="13" width="9.140625" style="74"/>
    <col min="14" max="14" width="11" style="74" bestFit="1" customWidth="1"/>
    <col min="15" max="15" width="9.140625" style="74"/>
    <col min="16" max="16" width="9.7109375" style="98" bestFit="1" customWidth="1"/>
    <col min="17" max="17" width="9.140625" style="98"/>
    <col min="18" max="16384" width="9.140625" style="74"/>
  </cols>
  <sheetData>
    <row r="1" spans="1:31" ht="21" customHeight="1">
      <c r="A1" s="1980" t="s">
        <v>1158</v>
      </c>
      <c r="B1" s="1980"/>
      <c r="C1" s="1980"/>
      <c r="D1" s="1980"/>
      <c r="E1" s="1980"/>
      <c r="F1" s="1980"/>
      <c r="G1" s="1980"/>
      <c r="H1" s="1980"/>
      <c r="I1" s="965"/>
    </row>
    <row r="2" spans="1:31" ht="21" customHeight="1">
      <c r="A2" s="1815" t="s">
        <v>801</v>
      </c>
      <c r="B2" s="1815"/>
      <c r="C2" s="490"/>
      <c r="D2" s="490"/>
      <c r="E2" s="490"/>
      <c r="F2" s="490"/>
      <c r="G2" s="1987"/>
      <c r="H2" s="1987"/>
      <c r="I2" s="966"/>
      <c r="J2" s="1987" t="s">
        <v>807</v>
      </c>
      <c r="K2" s="1987"/>
    </row>
    <row r="3" spans="1:31" ht="21" customHeight="1">
      <c r="A3" s="491"/>
      <c r="B3" s="491"/>
      <c r="C3" s="491"/>
      <c r="D3" s="491"/>
      <c r="E3" s="491"/>
      <c r="F3" s="491"/>
      <c r="G3" s="2263" t="s">
        <v>320</v>
      </c>
      <c r="H3" s="2263"/>
      <c r="I3" s="472"/>
    </row>
    <row r="4" spans="1:31" ht="30.75" customHeight="1" thickBot="1">
      <c r="A4" s="2264"/>
      <c r="B4" s="2266" t="s">
        <v>48</v>
      </c>
      <c r="C4" s="1820" t="s">
        <v>1846</v>
      </c>
      <c r="D4" s="1820"/>
      <c r="E4" s="2207" t="s">
        <v>1847</v>
      </c>
      <c r="F4" s="2207"/>
      <c r="G4" s="2207"/>
      <c r="H4" s="2207"/>
      <c r="I4" s="1829" t="s">
        <v>1159</v>
      </c>
      <c r="J4" s="1830"/>
      <c r="K4" s="1831"/>
      <c r="P4" s="784">
        <v>43556</v>
      </c>
      <c r="Q4" s="785">
        <v>8.5</v>
      </c>
    </row>
    <row r="5" spans="1:31" ht="44.25" customHeight="1" thickBot="1">
      <c r="A5" s="2265"/>
      <c r="B5" s="2267"/>
      <c r="C5" s="361" t="s">
        <v>1818</v>
      </c>
      <c r="D5" s="282" t="s">
        <v>1253</v>
      </c>
      <c r="E5" s="361" t="s">
        <v>1160</v>
      </c>
      <c r="F5" s="361" t="s">
        <v>1163</v>
      </c>
      <c r="G5" s="361" t="s">
        <v>1164</v>
      </c>
      <c r="H5" s="363" t="s">
        <v>1165</v>
      </c>
      <c r="I5" s="968" t="s">
        <v>1841</v>
      </c>
      <c r="J5" s="964" t="s">
        <v>1842</v>
      </c>
      <c r="K5" s="964" t="s">
        <v>1843</v>
      </c>
      <c r="P5" s="784">
        <v>43586</v>
      </c>
      <c r="Q5" s="785">
        <v>8.4499999999999993</v>
      </c>
      <c r="T5" s="1003">
        <v>43922</v>
      </c>
      <c r="U5" s="1003">
        <v>43952</v>
      </c>
      <c r="V5" s="1003">
        <v>43983</v>
      </c>
      <c r="W5" s="1003">
        <v>44013</v>
      </c>
      <c r="X5" s="1003">
        <v>44044</v>
      </c>
      <c r="Y5" s="1003">
        <v>44075</v>
      </c>
      <c r="Z5" s="1003">
        <v>44105</v>
      </c>
      <c r="AA5" s="1003">
        <v>44136</v>
      </c>
      <c r="AB5" s="1003">
        <v>44166</v>
      </c>
      <c r="AC5" s="1003">
        <v>44197</v>
      </c>
      <c r="AD5" s="1003">
        <v>44228</v>
      </c>
      <c r="AE5" s="1002">
        <v>44256</v>
      </c>
    </row>
    <row r="6" spans="1:31" ht="63" customHeight="1" thickBot="1">
      <c r="A6" s="60">
        <v>1</v>
      </c>
      <c r="B6" s="410" t="s">
        <v>802</v>
      </c>
      <c r="C6" s="428">
        <f>'F4'!C18/12*2</f>
        <v>215.36333333333334</v>
      </c>
      <c r="D6" s="428">
        <f ca="1">'F1'!E43/12*2</f>
        <v>201.52195236752027</v>
      </c>
      <c r="E6" s="428">
        <v>240.24833333333333</v>
      </c>
      <c r="F6" s="128"/>
      <c r="G6" s="128"/>
      <c r="H6" s="428">
        <f ca="1">'F1'!I43/6</f>
        <v>220.4757156058171</v>
      </c>
      <c r="I6" s="428">
        <f ca="1">'F1'!J43/6</f>
        <v>247.94899639214759</v>
      </c>
      <c r="J6" s="428">
        <f ca="1">'F1'!K43/6</f>
        <v>285.77808472167584</v>
      </c>
      <c r="K6" s="428">
        <f ca="1">'F1'!L43/6</f>
        <v>328.97264058865909</v>
      </c>
      <c r="P6" s="784">
        <v>43617</v>
      </c>
      <c r="Q6" s="785">
        <v>8.4499999999999993</v>
      </c>
      <c r="T6" s="1005">
        <v>7.3999999999999996E-2</v>
      </c>
      <c r="U6" s="1005">
        <v>7.2499999999999995E-2</v>
      </c>
      <c r="V6" s="1005">
        <v>7.0000000000000007E-2</v>
      </c>
      <c r="W6" s="1005">
        <v>7.0000000000000007E-2</v>
      </c>
      <c r="X6" s="1005">
        <v>7.0000000000000007E-2</v>
      </c>
      <c r="Y6" s="1005">
        <v>7.0000000000000007E-2</v>
      </c>
      <c r="Z6" s="1005">
        <v>7.0000000000000007E-2</v>
      </c>
      <c r="AA6" s="1005">
        <v>7.0000000000000007E-2</v>
      </c>
      <c r="AB6" s="1005">
        <v>7.0000000000000007E-2</v>
      </c>
      <c r="AC6" s="1005">
        <v>7.0000000000000007E-2</v>
      </c>
      <c r="AD6" s="1005">
        <v>7.0000000000000007E-2</v>
      </c>
      <c r="AE6" s="1004">
        <v>7.0000000000000007E-2</v>
      </c>
    </row>
    <row r="7" spans="1:31" s="98" customFormat="1" ht="32.25" thickBot="1">
      <c r="A7" s="60" t="s">
        <v>2013</v>
      </c>
      <c r="B7" s="380" t="s">
        <v>803</v>
      </c>
      <c r="C7" s="428">
        <f>'F13'!C12/12</f>
        <v>29.477068993100421</v>
      </c>
      <c r="D7" s="428">
        <f>'F13'!D12/12</f>
        <v>28.786518996288535</v>
      </c>
      <c r="E7" s="428">
        <f>'F13'!E12/12</f>
        <v>32.525782463966671</v>
      </c>
      <c r="F7" s="550"/>
      <c r="G7" s="550"/>
      <c r="H7" s="428">
        <f>'F13'!H12/12</f>
        <v>31.315467956222946</v>
      </c>
      <c r="I7" s="428">
        <f>'F13'!I12/12</f>
        <v>31.706553067139325</v>
      </c>
      <c r="J7" s="428">
        <f>'F13'!J12/12</f>
        <v>35.033740758400349</v>
      </c>
      <c r="K7" s="428">
        <f>'F13'!K12/12</f>
        <v>39.030863318213804</v>
      </c>
      <c r="N7" s="789"/>
      <c r="P7" s="784">
        <v>43647</v>
      </c>
      <c r="Q7" s="785">
        <v>8.4</v>
      </c>
      <c r="T7" s="2260" t="s">
        <v>1838</v>
      </c>
      <c r="U7" s="2261"/>
      <c r="V7" s="2261"/>
      <c r="W7" s="2261"/>
      <c r="X7" s="2261"/>
      <c r="Y7" s="2261"/>
      <c r="Z7" s="2261"/>
      <c r="AA7" s="2261"/>
      <c r="AB7" s="2261"/>
      <c r="AC7" s="2261"/>
      <c r="AD7" s="2262"/>
      <c r="AE7" s="798">
        <f>AVERAGE(T6:AE6)</f>
        <v>7.0541666666666683E-2</v>
      </c>
    </row>
    <row r="8" spans="1:31" ht="31.5">
      <c r="A8" s="60">
        <v>3</v>
      </c>
      <c r="B8" s="415" t="s">
        <v>1817</v>
      </c>
      <c r="C8" s="428">
        <f>('F13'!C12/12)*15%</f>
        <v>4.4215603489650626</v>
      </c>
      <c r="D8" s="428">
        <f>D7*15%</f>
        <v>4.3179778494432801</v>
      </c>
      <c r="E8" s="428">
        <f>('F13'!E12/12)*15%</f>
        <v>4.8788673695950004</v>
      </c>
      <c r="F8" s="542"/>
      <c r="G8" s="542"/>
      <c r="H8" s="428">
        <f>H7*15%</f>
        <v>4.6973201934334421</v>
      </c>
      <c r="I8" s="428">
        <f>('F15'!G13/12)*40%</f>
        <v>2.0897691765888005</v>
      </c>
      <c r="J8" s="428">
        <f>('F15'!H13/12)*40%</f>
        <v>2.4038714092683517</v>
      </c>
      <c r="K8" s="428">
        <f>('F15'!I13/12)*40%</f>
        <v>2.7574372791992579</v>
      </c>
      <c r="P8" s="784">
        <v>43678</v>
      </c>
      <c r="Q8" s="783">
        <v>8.25</v>
      </c>
    </row>
    <row r="9" spans="1:31" s="98" customFormat="1" ht="63">
      <c r="A9" s="60">
        <v>4</v>
      </c>
      <c r="B9" s="418" t="s">
        <v>1261</v>
      </c>
      <c r="C9" s="428">
        <f>('F7-2'!C58/12*2)+('F10'!C40/12*2)</f>
        <v>111.47675896861747</v>
      </c>
      <c r="D9" s="428">
        <f>('F7-2'!D60/6)+('F10'!D40/6)</f>
        <v>97.015356223708608</v>
      </c>
      <c r="E9" s="428">
        <f>('F7-2'!E60/12*2)+('F10'!E40/12*2)</f>
        <v>121.36193236491781</v>
      </c>
      <c r="F9" s="550"/>
      <c r="G9" s="550"/>
      <c r="H9" s="428">
        <f>('F7-2'!F60/12*2)+('F10'!H40/12*2)</f>
        <v>111.15248498496541</v>
      </c>
      <c r="I9" s="428">
        <f>'F10'!I40/6</f>
        <v>47.540065137911903</v>
      </c>
      <c r="J9" s="428">
        <f>'F10'!J40/6</f>
        <v>53.949479789120289</v>
      </c>
      <c r="K9" s="428">
        <f>'F10'!K40/6</f>
        <v>61.233890361693653</v>
      </c>
      <c r="P9" s="784">
        <v>43709</v>
      </c>
      <c r="Q9" s="785">
        <v>8.15</v>
      </c>
    </row>
    <row r="10" spans="1:31" ht="21" customHeight="1" thickBot="1">
      <c r="A10" s="543"/>
      <c r="B10" s="544" t="s">
        <v>804</v>
      </c>
      <c r="C10" s="549">
        <f>SUM(C6:C8)-C9</f>
        <v>137.78520370678137</v>
      </c>
      <c r="D10" s="549">
        <f ca="1">SUM(D6:D8)-D9</f>
        <v>137.61109298954347</v>
      </c>
      <c r="E10" s="549">
        <f>SUM(E6:E8)-E9</f>
        <v>156.29105080197721</v>
      </c>
      <c r="F10" s="548"/>
      <c r="G10" s="548"/>
      <c r="H10" s="549">
        <f ca="1">SUM(H6:H8)-H9</f>
        <v>145.33601877050805</v>
      </c>
      <c r="I10" s="549">
        <f t="shared" ref="I10:K10" ca="1" si="0">SUM(I6:I8)-I9</f>
        <v>234.20525349796381</v>
      </c>
      <c r="J10" s="549">
        <f t="shared" ca="1" si="0"/>
        <v>269.26621710022425</v>
      </c>
      <c r="K10" s="549">
        <f t="shared" ca="1" si="0"/>
        <v>309.52705082437853</v>
      </c>
      <c r="P10" s="784">
        <v>43739</v>
      </c>
      <c r="Q10" s="785">
        <v>8.0500000000000007</v>
      </c>
    </row>
    <row r="11" spans="1:31" s="98" customFormat="1" ht="31.5" customHeight="1" thickTop="1">
      <c r="A11" s="800"/>
      <c r="B11" s="79" t="s">
        <v>805</v>
      </c>
      <c r="C11" s="799">
        <v>9.5000000000000001E-2</v>
      </c>
      <c r="D11" s="799">
        <f>AE7+1.5%</f>
        <v>8.5541666666666683E-2</v>
      </c>
      <c r="E11" s="799">
        <v>8.5000000000000006E-2</v>
      </c>
      <c r="F11" s="799"/>
      <c r="G11" s="799"/>
      <c r="H11" s="799">
        <f>7%+1.5%</f>
        <v>8.5000000000000006E-2</v>
      </c>
      <c r="I11" s="799">
        <f>H11</f>
        <v>8.5000000000000006E-2</v>
      </c>
      <c r="J11" s="799">
        <f t="shared" ref="J11:K11" si="1">I11</f>
        <v>8.5000000000000006E-2</v>
      </c>
      <c r="K11" s="799">
        <f t="shared" si="1"/>
        <v>8.5000000000000006E-2</v>
      </c>
      <c r="P11" s="784">
        <v>43770</v>
      </c>
      <c r="Q11" s="147">
        <v>8</v>
      </c>
    </row>
    <row r="12" spans="1:31" ht="32.25" thickBot="1">
      <c r="A12" s="543"/>
      <c r="B12" s="545" t="s">
        <v>806</v>
      </c>
      <c r="C12" s="549">
        <f>C10*C11</f>
        <v>13.08959435214423</v>
      </c>
      <c r="D12" s="549">
        <f ca="1">D10*D11</f>
        <v>11.771482246147199</v>
      </c>
      <c r="E12" s="549">
        <f>E10*E11</f>
        <v>13.284739318168063</v>
      </c>
      <c r="F12" s="549"/>
      <c r="G12" s="549"/>
      <c r="H12" s="549">
        <f ca="1">H10*H11</f>
        <v>12.353561595493185</v>
      </c>
      <c r="I12" s="549">
        <f t="shared" ref="I12:K12" ca="1" si="2">I10*I11</f>
        <v>19.907446547326924</v>
      </c>
      <c r="J12" s="549">
        <f t="shared" ca="1" si="2"/>
        <v>22.887628453519063</v>
      </c>
      <c r="K12" s="549">
        <f t="shared" ca="1" si="2"/>
        <v>26.309799320072177</v>
      </c>
      <c r="P12" s="784">
        <v>43800</v>
      </c>
      <c r="Q12" s="147">
        <v>7.9</v>
      </c>
    </row>
    <row r="13" spans="1:31" ht="21" customHeight="1">
      <c r="A13" s="546"/>
      <c r="B13" s="547"/>
      <c r="C13" s="547"/>
      <c r="D13" s="547"/>
      <c r="E13" s="547"/>
      <c r="F13" s="547"/>
      <c r="G13" s="547"/>
      <c r="H13" s="546"/>
      <c r="I13" s="546"/>
      <c r="P13" s="784">
        <v>43831</v>
      </c>
      <c r="Q13" s="147">
        <v>7.9</v>
      </c>
    </row>
    <row r="14" spans="1:31" ht="21" customHeight="1">
      <c r="P14" s="784">
        <v>43862</v>
      </c>
      <c r="Q14" s="147">
        <v>7.85</v>
      </c>
    </row>
    <row r="15" spans="1:31" ht="21" customHeight="1">
      <c r="H15" s="666" t="s">
        <v>401</v>
      </c>
      <c r="I15" s="666"/>
      <c r="P15" s="784">
        <v>43891</v>
      </c>
      <c r="Q15" s="147">
        <v>7.75</v>
      </c>
    </row>
    <row r="16" spans="1:31" ht="21" customHeight="1">
      <c r="P16" s="784">
        <v>43922</v>
      </c>
      <c r="Q16" s="147">
        <v>7.4</v>
      </c>
    </row>
    <row r="17" spans="16:17" ht="21" customHeight="1">
      <c r="P17" s="784">
        <v>43952</v>
      </c>
      <c r="Q17" s="147">
        <v>7.25</v>
      </c>
    </row>
    <row r="18" spans="16:17" ht="21" customHeight="1">
      <c r="P18" s="784">
        <v>43983</v>
      </c>
      <c r="Q18" s="147">
        <v>7</v>
      </c>
    </row>
    <row r="19" spans="16:17" ht="21" customHeight="1">
      <c r="P19" s="784">
        <v>44013</v>
      </c>
      <c r="Q19" s="147">
        <v>7</v>
      </c>
    </row>
    <row r="20" spans="16:17" ht="21" customHeight="1">
      <c r="P20" s="784">
        <v>44044</v>
      </c>
      <c r="Q20" s="147">
        <v>7</v>
      </c>
    </row>
    <row r="21" spans="16:17" ht="21" customHeight="1">
      <c r="P21" s="784">
        <v>44075</v>
      </c>
      <c r="Q21" s="147">
        <v>7</v>
      </c>
    </row>
    <row r="22" spans="16:17" ht="21" customHeight="1">
      <c r="P22" s="147"/>
      <c r="Q22" s="147"/>
    </row>
    <row r="23" spans="16:17" ht="21" customHeight="1">
      <c r="P23" s="147"/>
      <c r="Q23" s="147"/>
    </row>
    <row r="24" spans="16:17" ht="21" customHeight="1">
      <c r="P24" s="147"/>
      <c r="Q24" s="147"/>
    </row>
    <row r="25" spans="16:17" ht="21" customHeight="1">
      <c r="P25" s="147"/>
      <c r="Q25" s="147"/>
    </row>
    <row r="26" spans="16:17" ht="21" customHeight="1"/>
    <row r="27" spans="16:17" ht="21" customHeight="1"/>
    <row r="28" spans="16:17" ht="21" customHeight="1"/>
    <row r="29" spans="16:17" ht="21" customHeight="1"/>
    <row r="30" spans="16:17" ht="21" customHeight="1"/>
    <row r="31" spans="16:17" ht="21" customHeight="1"/>
    <row r="32" spans="16:17"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sheetData>
  <mergeCells count="11">
    <mergeCell ref="T7:AD7"/>
    <mergeCell ref="J2:K2"/>
    <mergeCell ref="C4:D4"/>
    <mergeCell ref="A1:H1"/>
    <mergeCell ref="G2:H2"/>
    <mergeCell ref="G3:H3"/>
    <mergeCell ref="A4:A5"/>
    <mergeCell ref="B4:B5"/>
    <mergeCell ref="A2:B2"/>
    <mergeCell ref="E4:H4"/>
    <mergeCell ref="I4:K4"/>
  </mergeCells>
  <pageMargins left="0.70866141732283472" right="0.70866141732283472" top="0.74803149606299213" bottom="0.74803149606299213" header="0.31496062992125984" footer="0.31496062992125984"/>
  <pageSetup paperSize="9" scale="6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92D050"/>
    <pageSetUpPr fitToPage="1"/>
  </sheetPr>
  <dimension ref="A1:G22"/>
  <sheetViews>
    <sheetView showGridLines="0" view="pageBreakPreview" zoomScale="70" zoomScaleNormal="80" zoomScaleSheetLayoutView="70" workbookViewId="0">
      <selection activeCell="D9" sqref="D9:G15"/>
    </sheetView>
  </sheetViews>
  <sheetFormatPr defaultColWidth="9.140625" defaultRowHeight="15.75"/>
  <cols>
    <col min="1" max="1" width="9.140625" style="255"/>
    <col min="2" max="2" width="55.140625" style="255" bestFit="1" customWidth="1"/>
    <col min="3" max="7" width="20" style="255" customWidth="1"/>
    <col min="8" max="16384" width="9.140625" style="255"/>
  </cols>
  <sheetData>
    <row r="1" spans="1:7" ht="21" customHeight="1">
      <c r="A1" s="2259" t="s">
        <v>1158</v>
      </c>
      <c r="B1" s="2259"/>
      <c r="C1" s="2259"/>
      <c r="D1" s="2259"/>
      <c r="E1" s="2259"/>
      <c r="F1" s="2259"/>
      <c r="G1" s="2259"/>
    </row>
    <row r="2" spans="1:7" ht="21" customHeight="1">
      <c r="A2" s="2259" t="s">
        <v>292</v>
      </c>
      <c r="B2" s="2259"/>
      <c r="C2" s="490"/>
      <c r="D2" s="490"/>
      <c r="E2" s="490"/>
      <c r="F2" s="490" t="s">
        <v>808</v>
      </c>
      <c r="G2" s="490"/>
    </row>
    <row r="3" spans="1:7" ht="21" customHeight="1">
      <c r="A3" s="538"/>
      <c r="B3" s="538"/>
      <c r="C3" s="538"/>
      <c r="D3" s="538"/>
      <c r="E3" s="538"/>
      <c r="F3" s="2258" t="s">
        <v>320</v>
      </c>
      <c r="G3" s="2258"/>
    </row>
    <row r="4" spans="1:7" ht="68.25" customHeight="1">
      <c r="A4" s="555" t="s">
        <v>249</v>
      </c>
      <c r="B4" s="555" t="s">
        <v>293</v>
      </c>
      <c r="C4" s="555" t="s">
        <v>294</v>
      </c>
      <c r="D4" s="555" t="s">
        <v>295</v>
      </c>
      <c r="E4" s="555" t="s">
        <v>296</v>
      </c>
      <c r="F4" s="555" t="s">
        <v>297</v>
      </c>
      <c r="G4" s="555" t="s">
        <v>298</v>
      </c>
    </row>
    <row r="5" spans="1:7" ht="21" customHeight="1">
      <c r="A5" s="556"/>
      <c r="B5" s="556"/>
      <c r="C5" s="249">
        <v>0</v>
      </c>
      <c r="D5" s="249">
        <v>0</v>
      </c>
      <c r="E5" s="249">
        <v>0</v>
      </c>
      <c r="F5" s="249">
        <v>0</v>
      </c>
      <c r="G5" s="249">
        <v>0</v>
      </c>
    </row>
    <row r="6" spans="1:7" ht="21" customHeight="1">
      <c r="A6" s="416" t="s">
        <v>815</v>
      </c>
    </row>
    <row r="7" spans="1:7" ht="21" customHeight="1">
      <c r="A7" s="2264" t="s">
        <v>150</v>
      </c>
      <c r="B7" s="2266" t="s">
        <v>48</v>
      </c>
      <c r="C7" s="2266"/>
      <c r="D7" s="2266" t="s">
        <v>566</v>
      </c>
      <c r="E7" s="2266" t="s">
        <v>567</v>
      </c>
      <c r="F7" s="2268" t="s">
        <v>747</v>
      </c>
      <c r="G7" s="2269"/>
    </row>
    <row r="8" spans="1:7" ht="21" customHeight="1">
      <c r="A8" s="2265"/>
      <c r="B8" s="2267"/>
      <c r="C8" s="2267"/>
      <c r="D8" s="2267"/>
      <c r="E8" s="2267"/>
      <c r="F8" s="2270"/>
      <c r="G8" s="2271"/>
    </row>
    <row r="9" spans="1:7">
      <c r="A9" s="555" t="s">
        <v>317</v>
      </c>
      <c r="B9" s="151" t="s">
        <v>816</v>
      </c>
      <c r="C9" s="417" t="s">
        <v>317</v>
      </c>
      <c r="D9" s="2273" t="s">
        <v>931</v>
      </c>
      <c r="E9" s="2274"/>
      <c r="F9" s="2274"/>
      <c r="G9" s="2275"/>
    </row>
    <row r="10" spans="1:7">
      <c r="A10" s="151"/>
      <c r="B10" s="151" t="s">
        <v>817</v>
      </c>
      <c r="C10" s="417" t="s">
        <v>185</v>
      </c>
      <c r="D10" s="2276"/>
      <c r="E10" s="2277"/>
      <c r="F10" s="2277"/>
      <c r="G10" s="2278"/>
    </row>
    <row r="11" spans="1:7">
      <c r="A11" s="151"/>
      <c r="B11" s="151" t="s">
        <v>818</v>
      </c>
      <c r="C11" s="417" t="s">
        <v>819</v>
      </c>
      <c r="D11" s="2276"/>
      <c r="E11" s="2277"/>
      <c r="F11" s="2277"/>
      <c r="G11" s="2278"/>
    </row>
    <row r="12" spans="1:7" ht="31.5">
      <c r="A12" s="555" t="s">
        <v>820</v>
      </c>
      <c r="B12" s="151" t="s">
        <v>821</v>
      </c>
      <c r="C12" s="417" t="s">
        <v>137</v>
      </c>
      <c r="D12" s="2276"/>
      <c r="E12" s="2277"/>
      <c r="F12" s="2277"/>
      <c r="G12" s="2278"/>
    </row>
    <row r="13" spans="1:7" ht="31.5">
      <c r="A13" s="151"/>
      <c r="B13" s="151" t="s">
        <v>822</v>
      </c>
      <c r="C13" s="417" t="s">
        <v>183</v>
      </c>
      <c r="D13" s="2276"/>
      <c r="E13" s="2277"/>
      <c r="F13" s="2277"/>
      <c r="G13" s="2278"/>
    </row>
    <row r="14" spans="1:7" ht="31.5">
      <c r="A14" s="151"/>
      <c r="B14" s="151" t="s">
        <v>823</v>
      </c>
      <c r="C14" s="417" t="s">
        <v>824</v>
      </c>
      <c r="D14" s="2276"/>
      <c r="E14" s="2277"/>
      <c r="F14" s="2277"/>
      <c r="G14" s="2278"/>
    </row>
    <row r="15" spans="1:7" ht="31.5">
      <c r="A15" s="555" t="s">
        <v>825</v>
      </c>
      <c r="B15" s="151" t="s">
        <v>829</v>
      </c>
      <c r="C15" s="77" t="s">
        <v>826</v>
      </c>
      <c r="D15" s="2279"/>
      <c r="E15" s="2280"/>
      <c r="F15" s="2280"/>
      <c r="G15" s="2281"/>
    </row>
    <row r="16" spans="1:7" ht="21" customHeight="1">
      <c r="A16" s="557" t="s">
        <v>827</v>
      </c>
    </row>
    <row r="17" spans="1:7" ht="33" customHeight="1">
      <c r="A17" s="2272" t="s">
        <v>828</v>
      </c>
      <c r="B17" s="2272"/>
      <c r="C17" s="2272"/>
      <c r="D17" s="2272"/>
      <c r="E17" s="2272"/>
      <c r="F17" s="2272"/>
      <c r="G17" s="2272"/>
    </row>
    <row r="18" spans="1:7" ht="21" customHeight="1"/>
    <row r="19" spans="1:7" ht="21" customHeight="1"/>
    <row r="20" spans="1:7" ht="21" customHeight="1">
      <c r="E20" s="666"/>
      <c r="F20" s="666" t="s">
        <v>401</v>
      </c>
    </row>
    <row r="21" spans="1:7" ht="21" customHeight="1"/>
    <row r="22" spans="1:7" ht="21" customHeight="1"/>
  </sheetData>
  <mergeCells count="11">
    <mergeCell ref="F3:G3"/>
    <mergeCell ref="A1:G1"/>
    <mergeCell ref="F7:G8"/>
    <mergeCell ref="A2:B2"/>
    <mergeCell ref="A17:G17"/>
    <mergeCell ref="A7:A8"/>
    <mergeCell ref="B7:B8"/>
    <mergeCell ref="C7:C8"/>
    <mergeCell ref="D7:D8"/>
    <mergeCell ref="E7:E8"/>
    <mergeCell ref="D9:G15"/>
  </mergeCells>
  <pageMargins left="0.70866141732283472" right="0.70866141732283472" top="0.74803149606299213" bottom="0.74803149606299213" header="0.31496062992125984" footer="0.31496062992125984"/>
  <pageSetup paperSize="9" scale="53"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92D050"/>
    <pageSetUpPr fitToPage="1"/>
  </sheetPr>
  <dimension ref="A1:K84"/>
  <sheetViews>
    <sheetView showGridLines="0" view="pageBreakPreview" zoomScale="73" zoomScaleNormal="100" zoomScaleSheetLayoutView="73" workbookViewId="0">
      <selection activeCell="K6" sqref="K6"/>
    </sheetView>
  </sheetViews>
  <sheetFormatPr defaultColWidth="9.140625" defaultRowHeight="15.75"/>
  <cols>
    <col min="1" max="1" width="9.140625" style="74"/>
    <col min="2" max="2" width="34" style="74" customWidth="1"/>
    <col min="3" max="5" width="16" style="74" customWidth="1"/>
    <col min="6" max="7" width="16" style="74" hidden="1" customWidth="1"/>
    <col min="8" max="9" width="16" style="74" customWidth="1"/>
    <col min="10" max="10" width="16" style="1104" customWidth="1"/>
    <col min="11" max="11" width="16" style="74" customWidth="1"/>
    <col min="12" max="16384" width="9.140625" style="74"/>
  </cols>
  <sheetData>
    <row r="1" spans="1:11" ht="21" customHeight="1">
      <c r="A1" s="1841" t="s">
        <v>1158</v>
      </c>
      <c r="B1" s="1841"/>
      <c r="C1" s="1841"/>
      <c r="D1" s="1841"/>
      <c r="E1" s="1841"/>
      <c r="F1" s="1841"/>
      <c r="G1" s="1841"/>
      <c r="H1" s="1841"/>
    </row>
    <row r="2" spans="1:11" ht="21" customHeight="1">
      <c r="A2" s="2223" t="s">
        <v>36</v>
      </c>
      <c r="B2" s="2223"/>
      <c r="C2" s="2223"/>
      <c r="D2" s="2223"/>
      <c r="E2" s="2223"/>
      <c r="F2" s="2223"/>
      <c r="G2" s="1987"/>
      <c r="H2" s="1987"/>
      <c r="I2" s="1987" t="s">
        <v>809</v>
      </c>
      <c r="J2" s="1987"/>
      <c r="K2" s="1987"/>
    </row>
    <row r="3" spans="1:11" ht="21" customHeight="1">
      <c r="G3" s="1748" t="s">
        <v>320</v>
      </c>
      <c r="H3" s="1748"/>
    </row>
    <row r="4" spans="1:11" ht="43.5" customHeight="1">
      <c r="A4" s="2196" t="s">
        <v>249</v>
      </c>
      <c r="B4" s="2196" t="s">
        <v>48</v>
      </c>
      <c r="C4" s="1820" t="s">
        <v>1846</v>
      </c>
      <c r="D4" s="1820"/>
      <c r="E4" s="2207" t="s">
        <v>1847</v>
      </c>
      <c r="F4" s="2207"/>
      <c r="G4" s="2207"/>
      <c r="H4" s="2207"/>
      <c r="I4" s="1820" t="s">
        <v>747</v>
      </c>
      <c r="J4" s="1820"/>
      <c r="K4" s="1820"/>
    </row>
    <row r="5" spans="1:11" ht="47.25">
      <c r="A5" s="2197"/>
      <c r="B5" s="2197"/>
      <c r="C5" s="361" t="s">
        <v>1172</v>
      </c>
      <c r="D5" s="282" t="s">
        <v>1253</v>
      </c>
      <c r="E5" s="361" t="s">
        <v>1160</v>
      </c>
      <c r="F5" s="361" t="s">
        <v>1163</v>
      </c>
      <c r="G5" s="361" t="s">
        <v>1164</v>
      </c>
      <c r="H5" s="363" t="s">
        <v>1165</v>
      </c>
      <c r="I5" s="1105" t="s">
        <v>1841</v>
      </c>
      <c r="J5" s="1101" t="s">
        <v>1842</v>
      </c>
      <c r="K5" s="1101" t="s">
        <v>1843</v>
      </c>
    </row>
    <row r="6" spans="1:11" ht="28.5" customHeight="1">
      <c r="A6" s="77">
        <v>1</v>
      </c>
      <c r="B6" s="151" t="s">
        <v>263</v>
      </c>
      <c r="C6" s="60">
        <f>'F7-2'!C23</f>
        <v>0</v>
      </c>
      <c r="D6" s="428">
        <f>'F5-8'!E11</f>
        <v>8.58</v>
      </c>
      <c r="E6" s="77"/>
      <c r="F6" s="77"/>
      <c r="G6" s="77"/>
      <c r="H6" s="428">
        <f>'F5-8'!I11</f>
        <v>52.038480000000014</v>
      </c>
      <c r="I6" s="428">
        <f>'F5-8'!J11</f>
        <v>83.369181804778151</v>
      </c>
      <c r="J6" s="428">
        <f>'F5-8'!K11</f>
        <v>94.327271999999994</v>
      </c>
      <c r="K6" s="428">
        <f>'F5-8'!L11</f>
        <v>108.22974240000002</v>
      </c>
    </row>
    <row r="7" spans="1:11" ht="21" customHeight="1">
      <c r="A7" s="77">
        <v>2</v>
      </c>
      <c r="B7" s="151" t="s">
        <v>264</v>
      </c>
      <c r="C7" s="77"/>
      <c r="D7" s="77"/>
      <c r="E7" s="77"/>
      <c r="F7" s="84"/>
      <c r="G7" s="84"/>
      <c r="H7" s="84"/>
      <c r="I7" s="122"/>
      <c r="J7" s="122"/>
      <c r="K7" s="130"/>
    </row>
    <row r="8" spans="1:11" ht="21" customHeight="1">
      <c r="A8" s="558"/>
      <c r="B8" s="136" t="s">
        <v>265</v>
      </c>
      <c r="C8" s="427"/>
      <c r="D8" s="427">
        <v>0</v>
      </c>
      <c r="E8" s="427"/>
      <c r="F8" s="673"/>
      <c r="G8" s="673"/>
      <c r="H8" s="427">
        <v>0</v>
      </c>
      <c r="I8" s="427">
        <v>0</v>
      </c>
      <c r="J8" s="427">
        <v>0</v>
      </c>
      <c r="K8" s="427">
        <v>0</v>
      </c>
    </row>
    <row r="9" spans="1:11" ht="21" customHeight="1">
      <c r="A9" s="558"/>
      <c r="B9" s="136" t="s">
        <v>266</v>
      </c>
      <c r="C9" s="427"/>
      <c r="D9" s="427">
        <v>0</v>
      </c>
      <c r="E9" s="427"/>
      <c r="F9" s="673"/>
      <c r="G9" s="673"/>
      <c r="H9" s="427">
        <v>0</v>
      </c>
      <c r="I9" s="427">
        <v>0</v>
      </c>
      <c r="J9" s="427">
        <v>0</v>
      </c>
      <c r="K9" s="427">
        <v>0</v>
      </c>
    </row>
    <row r="10" spans="1:11" ht="21" customHeight="1">
      <c r="A10" s="558"/>
      <c r="B10" s="136" t="s">
        <v>267</v>
      </c>
      <c r="C10" s="427"/>
      <c r="D10" s="427">
        <v>0</v>
      </c>
      <c r="E10" s="427"/>
      <c r="F10" s="673"/>
      <c r="G10" s="673"/>
      <c r="H10" s="427">
        <v>0</v>
      </c>
      <c r="I10" s="427">
        <v>0</v>
      </c>
      <c r="J10" s="427">
        <v>0</v>
      </c>
      <c r="K10" s="427">
        <v>0</v>
      </c>
    </row>
    <row r="11" spans="1:11" ht="21" customHeight="1">
      <c r="A11" s="558"/>
      <c r="B11" s="136" t="s">
        <v>268</v>
      </c>
      <c r="C11" s="427"/>
      <c r="D11" s="427">
        <v>0</v>
      </c>
      <c r="E11" s="427"/>
      <c r="F11" s="673"/>
      <c r="G11" s="673"/>
      <c r="H11" s="427">
        <v>0</v>
      </c>
      <c r="I11" s="427">
        <v>0</v>
      </c>
      <c r="J11" s="427">
        <v>0</v>
      </c>
      <c r="K11" s="427">
        <v>0</v>
      </c>
    </row>
    <row r="12" spans="1:11" ht="21" customHeight="1">
      <c r="A12" s="558"/>
      <c r="B12" s="136" t="s">
        <v>269</v>
      </c>
      <c r="C12" s="427"/>
      <c r="D12" s="427">
        <v>0</v>
      </c>
      <c r="E12" s="427"/>
      <c r="F12" s="673"/>
      <c r="G12" s="673"/>
      <c r="H12" s="427">
        <v>0</v>
      </c>
      <c r="I12" s="427">
        <v>0</v>
      </c>
      <c r="J12" s="427">
        <v>0</v>
      </c>
      <c r="K12" s="427">
        <v>0</v>
      </c>
    </row>
    <row r="13" spans="1:11" ht="21" customHeight="1">
      <c r="A13" s="249"/>
      <c r="B13" s="559" t="s">
        <v>270</v>
      </c>
      <c r="C13" s="560"/>
      <c r="D13" s="560"/>
      <c r="E13" s="560"/>
      <c r="F13" s="560"/>
      <c r="G13" s="560"/>
      <c r="H13" s="560"/>
      <c r="I13" s="560"/>
      <c r="J13" s="560"/>
      <c r="K13" s="560"/>
    </row>
    <row r="14" spans="1:11" ht="21" customHeight="1">
      <c r="A14" s="249"/>
      <c r="B14" s="417"/>
      <c r="C14" s="561"/>
      <c r="D14" s="561"/>
      <c r="E14" s="561"/>
      <c r="F14" s="561"/>
      <c r="G14" s="561"/>
      <c r="H14" s="561"/>
      <c r="I14" s="122"/>
      <c r="J14" s="122"/>
      <c r="K14" s="130"/>
    </row>
    <row r="15" spans="1:11" ht="21" customHeight="1" thickBot="1">
      <c r="A15" s="249"/>
      <c r="B15" s="562" t="s">
        <v>271</v>
      </c>
      <c r="C15" s="553">
        <f>C6+C13</f>
        <v>0</v>
      </c>
      <c r="D15" s="553">
        <f t="shared" ref="D15:K15" si="0">D6+D13</f>
        <v>8.58</v>
      </c>
      <c r="E15" s="553">
        <f t="shared" si="0"/>
        <v>0</v>
      </c>
      <c r="F15" s="553">
        <f t="shared" si="0"/>
        <v>0</v>
      </c>
      <c r="G15" s="553">
        <f t="shared" si="0"/>
        <v>0</v>
      </c>
      <c r="H15" s="553">
        <f t="shared" si="0"/>
        <v>52.038480000000014</v>
      </c>
      <c r="I15" s="553">
        <f t="shared" si="0"/>
        <v>83.369181804778151</v>
      </c>
      <c r="J15" s="553">
        <f t="shared" si="0"/>
        <v>94.327271999999994</v>
      </c>
      <c r="K15" s="553">
        <f t="shared" si="0"/>
        <v>108.22974240000002</v>
      </c>
    </row>
    <row r="16" spans="1:11" ht="21" customHeight="1" thickTop="1"/>
    <row r="17" spans="1:11" ht="21" customHeight="1"/>
    <row r="18" spans="1:11" ht="21" customHeight="1">
      <c r="F18" s="674" t="s">
        <v>401</v>
      </c>
      <c r="G18" s="674"/>
      <c r="H18" s="674"/>
      <c r="I18" s="666" t="s">
        <v>401</v>
      </c>
      <c r="J18" s="666"/>
      <c r="K18" s="618"/>
    </row>
    <row r="19" spans="1:11" ht="21" customHeight="1">
      <c r="G19" s="406"/>
      <c r="H19" s="406"/>
    </row>
    <row r="20" spans="1:11" ht="21" hidden="1" customHeight="1">
      <c r="A20" s="438" t="s">
        <v>187</v>
      </c>
      <c r="B20" s="438"/>
      <c r="C20" s="438"/>
      <c r="D20" s="438"/>
      <c r="E20" s="438"/>
      <c r="F20" s="438"/>
      <c r="G20" s="438"/>
      <c r="H20" s="438"/>
    </row>
    <row r="21" spans="1:11" ht="21" hidden="1" customHeight="1">
      <c r="A21" s="440">
        <v>1</v>
      </c>
      <c r="B21" s="440" t="s">
        <v>339</v>
      </c>
      <c r="C21" s="2285" t="s">
        <v>340</v>
      </c>
      <c r="D21" s="2286"/>
      <c r="E21" s="2286"/>
      <c r="F21" s="2286"/>
      <c r="G21" s="2286"/>
      <c r="H21" s="2287"/>
    </row>
    <row r="22" spans="1:11" ht="21" hidden="1" customHeight="1">
      <c r="A22" s="481">
        <v>2</v>
      </c>
      <c r="B22" s="482" t="s">
        <v>329</v>
      </c>
      <c r="C22" s="483" t="s">
        <v>328</v>
      </c>
      <c r="D22" s="484"/>
      <c r="E22" s="484"/>
      <c r="F22" s="484"/>
      <c r="G22" s="484"/>
      <c r="H22" s="485"/>
    </row>
    <row r="23" spans="1:11" ht="21" hidden="1" customHeight="1">
      <c r="A23" s="440">
        <v>3</v>
      </c>
      <c r="B23" s="443" t="s">
        <v>330</v>
      </c>
      <c r="C23" s="439" t="s">
        <v>328</v>
      </c>
      <c r="D23" s="486"/>
      <c r="E23" s="486"/>
      <c r="F23" s="486"/>
      <c r="G23" s="486"/>
      <c r="H23" s="487"/>
    </row>
    <row r="24" spans="1:11" ht="21" hidden="1" customHeight="1">
      <c r="A24" s="440">
        <v>4</v>
      </c>
      <c r="B24" s="443" t="s">
        <v>331</v>
      </c>
      <c r="C24" s="2282" t="s">
        <v>334</v>
      </c>
      <c r="D24" s="2283"/>
      <c r="E24" s="2283"/>
      <c r="F24" s="2283"/>
      <c r="G24" s="2283"/>
      <c r="H24" s="2284"/>
      <c r="I24" s="295"/>
      <c r="J24" s="295"/>
    </row>
    <row r="25" spans="1:11" ht="21" hidden="1" customHeight="1">
      <c r="A25" s="440">
        <v>5</v>
      </c>
      <c r="B25" s="443" t="s">
        <v>332</v>
      </c>
      <c r="C25" s="439" t="s">
        <v>362</v>
      </c>
      <c r="D25" s="486"/>
      <c r="E25" s="486"/>
      <c r="F25" s="486"/>
      <c r="G25" s="486"/>
      <c r="H25" s="487"/>
    </row>
    <row r="26" spans="1:11" ht="21" customHeight="1"/>
    <row r="27" spans="1:11" ht="21" customHeight="1"/>
    <row r="28" spans="1:11" ht="21" customHeight="1"/>
    <row r="29" spans="1:11" ht="21" customHeight="1"/>
    <row r="30" spans="1:11" ht="21" customHeight="1"/>
    <row r="31" spans="1:11" ht="21" customHeight="1"/>
    <row r="32" spans="1:11"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sheetData>
  <mergeCells count="12">
    <mergeCell ref="C24:H24"/>
    <mergeCell ref="G3:H3"/>
    <mergeCell ref="G2:H2"/>
    <mergeCell ref="C21:H21"/>
    <mergeCell ref="C4:D4"/>
    <mergeCell ref="E4:H4"/>
    <mergeCell ref="I4:K4"/>
    <mergeCell ref="I2:K2"/>
    <mergeCell ref="A1:H1"/>
    <mergeCell ref="A2:F2"/>
    <mergeCell ref="A4:A5"/>
    <mergeCell ref="B4:B5"/>
  </mergeCells>
  <pageMargins left="0.70866141732283472" right="0.70866141732283472" top="0.74803149606299213" bottom="0.74803149606299213" header="0.31496062992125984" footer="0.31496062992125984"/>
  <pageSetup paperSize="9" scale="56"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92D050"/>
    <pageSetUpPr fitToPage="1"/>
  </sheetPr>
  <dimension ref="A1:G35"/>
  <sheetViews>
    <sheetView showGridLines="0" view="pageBreakPreview" zoomScale="80" zoomScaleNormal="100" zoomScaleSheetLayoutView="80" workbookViewId="0">
      <selection activeCell="C5" sqref="C5:D22"/>
    </sheetView>
  </sheetViews>
  <sheetFormatPr defaultColWidth="9.140625" defaultRowHeight="15.75"/>
  <cols>
    <col min="1" max="1" width="9.140625" style="74"/>
    <col min="2" max="2" width="57.28515625" style="74" bestFit="1" customWidth="1"/>
    <col min="3" max="3" width="17.85546875" style="74" bestFit="1" customWidth="1"/>
    <col min="4" max="4" width="27" style="74" bestFit="1" customWidth="1"/>
    <col min="5" max="16384" width="9.140625" style="74"/>
  </cols>
  <sheetData>
    <row r="1" spans="1:7" ht="21" customHeight="1">
      <c r="A1" s="1980" t="s">
        <v>1158</v>
      </c>
      <c r="B1" s="1980"/>
      <c r="C1" s="1980"/>
      <c r="D1" s="1980"/>
    </row>
    <row r="2" spans="1:7" ht="21" customHeight="1">
      <c r="A2" s="1815" t="s">
        <v>276</v>
      </c>
      <c r="B2" s="1815"/>
      <c r="C2" s="490"/>
      <c r="D2" s="490" t="s">
        <v>813</v>
      </c>
    </row>
    <row r="3" spans="1:7" ht="21" customHeight="1">
      <c r="A3" s="563"/>
      <c r="B3" s="563"/>
      <c r="C3" s="563"/>
      <c r="D3" s="563" t="s">
        <v>320</v>
      </c>
    </row>
    <row r="4" spans="1:7" ht="21" customHeight="1">
      <c r="A4" s="555" t="s">
        <v>249</v>
      </c>
      <c r="B4" s="555" t="s">
        <v>48</v>
      </c>
      <c r="C4" s="395" t="s">
        <v>458</v>
      </c>
      <c r="D4" s="395" t="s">
        <v>567</v>
      </c>
      <c r="E4" s="76"/>
      <c r="F4" s="76"/>
      <c r="G4" s="76"/>
    </row>
    <row r="5" spans="1:7" ht="21" customHeight="1">
      <c r="A5" s="128" t="s">
        <v>137</v>
      </c>
      <c r="B5" s="134" t="s">
        <v>277</v>
      </c>
      <c r="C5" s="2288" t="s">
        <v>328</v>
      </c>
      <c r="D5" s="2289"/>
      <c r="E5" s="76"/>
      <c r="F5" s="76"/>
      <c r="G5" s="76"/>
    </row>
    <row r="6" spans="1:7">
      <c r="A6" s="77">
        <v>1</v>
      </c>
      <c r="B6" s="151" t="s">
        <v>278</v>
      </c>
      <c r="C6" s="2290"/>
      <c r="D6" s="2291"/>
      <c r="E6" s="76"/>
      <c r="F6" s="76"/>
      <c r="G6" s="76"/>
    </row>
    <row r="7" spans="1:7">
      <c r="A7" s="564">
        <v>2</v>
      </c>
      <c r="B7" s="535" t="s">
        <v>279</v>
      </c>
      <c r="C7" s="2290"/>
      <c r="D7" s="2291"/>
    </row>
    <row r="8" spans="1:7">
      <c r="A8" s="564">
        <v>3</v>
      </c>
      <c r="B8" s="535" t="s">
        <v>280</v>
      </c>
      <c r="C8" s="2290"/>
      <c r="D8" s="2291"/>
    </row>
    <row r="9" spans="1:7">
      <c r="A9" s="564">
        <v>4</v>
      </c>
      <c r="B9" s="535" t="s">
        <v>281</v>
      </c>
      <c r="C9" s="2290"/>
      <c r="D9" s="2291"/>
    </row>
    <row r="10" spans="1:7">
      <c r="A10" s="564">
        <v>5</v>
      </c>
      <c r="B10" s="535" t="s">
        <v>282</v>
      </c>
      <c r="C10" s="2290"/>
      <c r="D10" s="2291"/>
    </row>
    <row r="11" spans="1:7">
      <c r="A11" s="564">
        <v>6</v>
      </c>
      <c r="B11" s="535" t="s">
        <v>256</v>
      </c>
      <c r="C11" s="2290"/>
      <c r="D11" s="2291"/>
    </row>
    <row r="12" spans="1:7">
      <c r="A12" s="558"/>
      <c r="B12" s="565" t="s">
        <v>283</v>
      </c>
      <c r="C12" s="2290"/>
      <c r="D12" s="2291"/>
    </row>
    <row r="13" spans="1:7">
      <c r="A13" s="411" t="s">
        <v>142</v>
      </c>
      <c r="B13" s="566" t="s">
        <v>284</v>
      </c>
      <c r="C13" s="2290"/>
      <c r="D13" s="2291"/>
    </row>
    <row r="14" spans="1:7">
      <c r="A14" s="564">
        <v>1</v>
      </c>
      <c r="B14" s="535" t="s">
        <v>285</v>
      </c>
      <c r="C14" s="2290"/>
      <c r="D14" s="2291"/>
    </row>
    <row r="15" spans="1:7">
      <c r="A15" s="564">
        <f>+A14+1</f>
        <v>2</v>
      </c>
      <c r="B15" s="535" t="s">
        <v>72</v>
      </c>
      <c r="C15" s="2290"/>
      <c r="D15" s="2291"/>
    </row>
    <row r="16" spans="1:7">
      <c r="A16" s="564">
        <f t="shared" ref="A16:A20" si="0">+A15+1</f>
        <v>3</v>
      </c>
      <c r="B16" s="535" t="s">
        <v>286</v>
      </c>
      <c r="C16" s="2290"/>
      <c r="D16" s="2291"/>
    </row>
    <row r="17" spans="1:7">
      <c r="A17" s="564">
        <f t="shared" si="0"/>
        <v>4</v>
      </c>
      <c r="B17" s="535" t="s">
        <v>287</v>
      </c>
      <c r="C17" s="2290"/>
      <c r="D17" s="2291"/>
    </row>
    <row r="18" spans="1:7">
      <c r="A18" s="564">
        <f t="shared" si="0"/>
        <v>5</v>
      </c>
      <c r="B18" s="535" t="s">
        <v>288</v>
      </c>
      <c r="C18" s="2290"/>
      <c r="D18" s="2291"/>
    </row>
    <row r="19" spans="1:7">
      <c r="A19" s="564">
        <f t="shared" si="0"/>
        <v>6</v>
      </c>
      <c r="B19" s="535" t="s">
        <v>289</v>
      </c>
      <c r="C19" s="2290"/>
      <c r="D19" s="2291"/>
    </row>
    <row r="20" spans="1:7">
      <c r="A20" s="564">
        <f t="shared" si="0"/>
        <v>7</v>
      </c>
      <c r="B20" s="535" t="s">
        <v>256</v>
      </c>
      <c r="C20" s="2290"/>
      <c r="D20" s="2291"/>
    </row>
    <row r="21" spans="1:7">
      <c r="A21" s="558"/>
      <c r="B21" s="565" t="s">
        <v>290</v>
      </c>
      <c r="C21" s="2290"/>
      <c r="D21" s="2291"/>
    </row>
    <row r="22" spans="1:7">
      <c r="A22" s="249"/>
      <c r="B22" s="559" t="s">
        <v>291</v>
      </c>
      <c r="C22" s="2292"/>
      <c r="D22" s="2293"/>
      <c r="E22" s="76"/>
      <c r="F22" s="76"/>
      <c r="G22" s="76"/>
    </row>
    <row r="23" spans="1:7" ht="21" customHeight="1">
      <c r="A23" s="538"/>
      <c r="B23" s="567"/>
      <c r="C23" s="568"/>
      <c r="D23" s="568"/>
      <c r="E23" s="76"/>
      <c r="F23" s="76"/>
      <c r="G23" s="76"/>
    </row>
    <row r="24" spans="1:7" ht="21" customHeight="1" thickBot="1">
      <c r="A24" s="392" t="s">
        <v>810</v>
      </c>
      <c r="B24" s="389"/>
      <c r="C24" s="389"/>
      <c r="D24" s="389"/>
      <c r="E24" s="76"/>
      <c r="F24" s="76"/>
      <c r="G24" s="76"/>
    </row>
    <row r="25" spans="1:7" ht="16.5" thickBot="1">
      <c r="A25" s="569" t="s">
        <v>249</v>
      </c>
      <c r="B25" s="570" t="s">
        <v>48</v>
      </c>
      <c r="C25" s="571" t="s">
        <v>458</v>
      </c>
      <c r="D25" s="571" t="s">
        <v>567</v>
      </c>
      <c r="E25" s="76"/>
      <c r="F25" s="76"/>
      <c r="G25" s="76"/>
    </row>
    <row r="26" spans="1:7" ht="16.5" thickBot="1">
      <c r="A26" s="494">
        <v>1</v>
      </c>
      <c r="B26" s="495" t="s">
        <v>272</v>
      </c>
      <c r="C26" s="572"/>
      <c r="D26" s="572"/>
      <c r="E26" s="76"/>
      <c r="F26" s="76"/>
      <c r="G26" s="76"/>
    </row>
    <row r="27" spans="1:7" ht="16.5" thickBot="1">
      <c r="A27" s="494" t="s">
        <v>811</v>
      </c>
      <c r="B27" s="495" t="s">
        <v>557</v>
      </c>
      <c r="C27" s="572"/>
      <c r="D27" s="572"/>
    </row>
    <row r="28" spans="1:7" ht="16.5" thickBot="1">
      <c r="A28" s="494"/>
      <c r="B28" s="573" t="s">
        <v>273</v>
      </c>
      <c r="C28" s="574"/>
      <c r="D28" s="574"/>
    </row>
    <row r="29" spans="1:7" ht="16.5" thickBot="1">
      <c r="A29" s="494">
        <v>2</v>
      </c>
      <c r="B29" s="495" t="s">
        <v>274</v>
      </c>
      <c r="C29" s="572"/>
      <c r="D29" s="572"/>
    </row>
    <row r="30" spans="1:7" ht="16.5" thickBot="1">
      <c r="A30" s="494" t="s">
        <v>811</v>
      </c>
      <c r="B30" s="495" t="s">
        <v>557</v>
      </c>
      <c r="C30" s="572"/>
      <c r="D30" s="572"/>
    </row>
    <row r="31" spans="1:7" ht="16.5" thickBot="1">
      <c r="A31" s="493"/>
      <c r="B31" s="573" t="s">
        <v>275</v>
      </c>
      <c r="C31" s="574">
        <v>0</v>
      </c>
      <c r="D31" s="574" t="s">
        <v>812</v>
      </c>
    </row>
    <row r="35" spans="3:3">
      <c r="C35" s="666" t="s">
        <v>401</v>
      </c>
    </row>
  </sheetData>
  <mergeCells count="3">
    <mergeCell ref="A1:D1"/>
    <mergeCell ref="C5:D22"/>
    <mergeCell ref="A2:B2"/>
  </mergeCells>
  <pageMargins left="0.70866141732283472" right="0.70866141732283472" top="0.48" bottom="0.74803149606299213" header="0.31496062992125984" footer="0.31496062992125984"/>
  <pageSetup paperSize="9" scale="78"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40"/>
  <sheetViews>
    <sheetView showGridLines="0" view="pageBreakPreview" zoomScale="70" zoomScaleNormal="100" zoomScaleSheetLayoutView="70" workbookViewId="0">
      <selection activeCell="G24" sqref="G24"/>
    </sheetView>
  </sheetViews>
  <sheetFormatPr defaultColWidth="9.140625" defaultRowHeight="15.75"/>
  <cols>
    <col min="1" max="1" width="6.28515625" style="389" customWidth="1"/>
    <col min="2" max="2" width="65.5703125" style="389" bestFit="1" customWidth="1"/>
    <col min="3" max="4" width="16.28515625" style="389" customWidth="1"/>
    <col min="5" max="5" width="18.42578125" style="389" bestFit="1" customWidth="1"/>
    <col min="6" max="16384" width="9.140625" style="389"/>
  </cols>
  <sheetData>
    <row r="1" spans="1:5">
      <c r="A1" s="389" t="s">
        <v>1158</v>
      </c>
      <c r="E1" s="575"/>
    </row>
    <row r="2" spans="1:5">
      <c r="A2" s="392" t="s">
        <v>844</v>
      </c>
    </row>
    <row r="3" spans="1:5">
      <c r="A3" s="392"/>
      <c r="C3" s="490"/>
      <c r="D3" s="490"/>
      <c r="E3" s="490" t="s">
        <v>830</v>
      </c>
    </row>
    <row r="4" spans="1:5" s="577" customFormat="1">
      <c r="A4" s="576"/>
      <c r="C4" s="139"/>
      <c r="D4" s="139"/>
      <c r="E4" s="139"/>
    </row>
    <row r="5" spans="1:5">
      <c r="A5" s="391" t="s">
        <v>623</v>
      </c>
      <c r="B5" s="391" t="s">
        <v>48</v>
      </c>
      <c r="C5" s="1239" t="s">
        <v>1108</v>
      </c>
      <c r="D5" s="1239" t="s">
        <v>1173</v>
      </c>
    </row>
    <row r="6" spans="1:5">
      <c r="A6" s="395">
        <v>1</v>
      </c>
      <c r="B6" s="395">
        <v>2</v>
      </c>
      <c r="C6" s="395">
        <v>3</v>
      </c>
      <c r="D6" s="395">
        <v>4</v>
      </c>
    </row>
    <row r="7" spans="1:5">
      <c r="A7" s="408">
        <v>1</v>
      </c>
      <c r="B7" s="409" t="s">
        <v>837</v>
      </c>
      <c r="C7" s="2296" t="s">
        <v>1573</v>
      </c>
      <c r="D7" s="2297"/>
    </row>
    <row r="8" spans="1:5">
      <c r="A8" s="408">
        <v>2</v>
      </c>
      <c r="B8" s="409" t="s">
        <v>838</v>
      </c>
      <c r="C8" s="2298"/>
      <c r="D8" s="2299"/>
    </row>
    <row r="9" spans="1:5">
      <c r="A9" s="408">
        <v>3</v>
      </c>
      <c r="B9" s="409" t="s">
        <v>839</v>
      </c>
      <c r="C9" s="2298"/>
      <c r="D9" s="2299"/>
    </row>
    <row r="10" spans="1:5">
      <c r="A10" s="408">
        <v>4</v>
      </c>
      <c r="B10" s="409" t="s">
        <v>840</v>
      </c>
      <c r="C10" s="2298"/>
      <c r="D10" s="2299"/>
    </row>
    <row r="11" spans="1:5">
      <c r="A11" s="2295">
        <v>5</v>
      </c>
      <c r="B11" s="409" t="s">
        <v>841</v>
      </c>
      <c r="C11" s="2298"/>
      <c r="D11" s="2299"/>
    </row>
    <row r="12" spans="1:5">
      <c r="A12" s="2295"/>
      <c r="B12" s="409" t="s">
        <v>642</v>
      </c>
      <c r="C12" s="2298"/>
      <c r="D12" s="2299"/>
    </row>
    <row r="13" spans="1:5">
      <c r="A13" s="2295"/>
      <c r="B13" s="409" t="s">
        <v>636</v>
      </c>
      <c r="C13" s="2298"/>
      <c r="D13" s="2299"/>
    </row>
    <row r="14" spans="1:5">
      <c r="A14" s="2295"/>
      <c r="B14" s="409" t="s">
        <v>842</v>
      </c>
      <c r="C14" s="2298"/>
      <c r="D14" s="2299"/>
    </row>
    <row r="15" spans="1:5">
      <c r="A15" s="2295"/>
      <c r="B15" s="409" t="s">
        <v>843</v>
      </c>
      <c r="C15" s="2300"/>
      <c r="D15" s="2301"/>
    </row>
    <row r="17" spans="1:4">
      <c r="A17" s="392" t="s">
        <v>845</v>
      </c>
    </row>
    <row r="19" spans="1:4">
      <c r="A19" s="1366" t="s">
        <v>623</v>
      </c>
      <c r="B19" s="1366" t="s">
        <v>48</v>
      </c>
      <c r="C19" s="1239" t="s">
        <v>1108</v>
      </c>
      <c r="D19" s="1239" t="s">
        <v>1173</v>
      </c>
    </row>
    <row r="20" spans="1:4">
      <c r="A20" s="1239">
        <v>1</v>
      </c>
      <c r="B20" s="1239">
        <v>2</v>
      </c>
      <c r="C20" s="1239">
        <v>3</v>
      </c>
      <c r="D20" s="1239">
        <v>4</v>
      </c>
    </row>
    <row r="21" spans="1:4">
      <c r="A21" s="2294" t="s">
        <v>137</v>
      </c>
      <c r="B21" s="409" t="s">
        <v>846</v>
      </c>
      <c r="C21" s="409"/>
      <c r="D21" s="409"/>
    </row>
    <row r="22" spans="1:4">
      <c r="A22" s="2294"/>
      <c r="B22" s="409" t="s">
        <v>847</v>
      </c>
      <c r="C22" s="409"/>
      <c r="D22" s="409"/>
    </row>
    <row r="23" spans="1:4">
      <c r="A23" s="2294"/>
      <c r="B23" s="409" t="s">
        <v>848</v>
      </c>
      <c r="C23" s="409"/>
      <c r="D23" s="409"/>
    </row>
    <row r="24" spans="1:4">
      <c r="A24" s="2294"/>
      <c r="B24" s="409" t="s">
        <v>849</v>
      </c>
      <c r="C24" s="409"/>
      <c r="D24" s="409"/>
    </row>
    <row r="25" spans="1:4">
      <c r="A25" s="2294"/>
      <c r="B25" s="409" t="s">
        <v>850</v>
      </c>
      <c r="C25" s="409"/>
      <c r="D25" s="409"/>
    </row>
    <row r="26" spans="1:4">
      <c r="A26" s="2294"/>
      <c r="B26" s="409" t="s">
        <v>848</v>
      </c>
      <c r="C26" s="409"/>
      <c r="D26" s="409"/>
    </row>
    <row r="27" spans="1:4">
      <c r="A27" s="2294"/>
      <c r="B27" s="409" t="s">
        <v>849</v>
      </c>
      <c r="C27" s="409"/>
      <c r="D27" s="409"/>
    </row>
    <row r="28" spans="1:4">
      <c r="A28" s="2294" t="s">
        <v>142</v>
      </c>
      <c r="B28" s="409" t="s">
        <v>851</v>
      </c>
      <c r="C28" s="409"/>
      <c r="D28" s="409"/>
    </row>
    <row r="29" spans="1:4">
      <c r="A29" s="2294"/>
      <c r="B29" s="409" t="s">
        <v>925</v>
      </c>
      <c r="C29" s="409"/>
      <c r="D29" s="409"/>
    </row>
    <row r="30" spans="1:4">
      <c r="A30" s="2294"/>
      <c r="B30" s="409" t="s">
        <v>848</v>
      </c>
      <c r="C30" s="409"/>
      <c r="D30" s="409"/>
    </row>
    <row r="31" spans="1:4">
      <c r="A31" s="2294"/>
      <c r="B31" s="409" t="s">
        <v>849</v>
      </c>
      <c r="C31" s="409"/>
      <c r="D31" s="409"/>
    </row>
    <row r="32" spans="1:4">
      <c r="A32" s="2294" t="s">
        <v>183</v>
      </c>
      <c r="B32" s="409" t="s">
        <v>926</v>
      </c>
      <c r="C32" s="409"/>
      <c r="D32" s="409"/>
    </row>
    <row r="33" spans="1:4">
      <c r="A33" s="2294"/>
      <c r="B33" s="409" t="s">
        <v>927</v>
      </c>
      <c r="C33" s="446"/>
      <c r="D33" s="409"/>
    </row>
    <row r="34" spans="1:4">
      <c r="A34" s="2294"/>
      <c r="B34" s="409"/>
      <c r="C34" s="409"/>
      <c r="D34" s="409"/>
    </row>
    <row r="35" spans="1:4">
      <c r="A35" s="2294"/>
      <c r="B35" s="409"/>
      <c r="C35" s="409"/>
      <c r="D35" s="409"/>
    </row>
    <row r="40" spans="1:4">
      <c r="D40" s="666" t="s">
        <v>401</v>
      </c>
    </row>
  </sheetData>
  <mergeCells count="5">
    <mergeCell ref="A32:A35"/>
    <mergeCell ref="A11:A15"/>
    <mergeCell ref="A21:A27"/>
    <mergeCell ref="A28:A31"/>
    <mergeCell ref="C7:D15"/>
  </mergeCells>
  <phoneticPr fontId="205" type="noConversion"/>
  <pageMargins left="0.7" right="0.7" top="0.38" bottom="0.75" header="0.3" footer="0.3"/>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G36"/>
  <sheetViews>
    <sheetView showGridLines="0" view="pageBreakPreview" zoomScale="70" zoomScaleNormal="70" zoomScaleSheetLayoutView="70" workbookViewId="0">
      <selection activeCell="B7" sqref="B7:F25"/>
    </sheetView>
  </sheetViews>
  <sheetFormatPr defaultColWidth="9.140625" defaultRowHeight="15.75"/>
  <cols>
    <col min="1" max="1" width="40.28515625" style="74" bestFit="1" customWidth="1"/>
    <col min="2" max="3" width="20" style="74" customWidth="1"/>
    <col min="4" max="5" width="20" style="803" customWidth="1"/>
    <col min="6" max="6" width="20" style="74" customWidth="1"/>
    <col min="7" max="16384" width="9.140625" style="74"/>
  </cols>
  <sheetData>
    <row r="1" spans="1:7" ht="21" customHeight="1">
      <c r="A1" s="1745" t="s">
        <v>1158</v>
      </c>
      <c r="B1" s="1745"/>
      <c r="C1" s="1745"/>
      <c r="D1" s="1745"/>
      <c r="E1" s="1745"/>
      <c r="F1" s="1745"/>
      <c r="G1" s="358"/>
    </row>
    <row r="2" spans="1:7" ht="21" customHeight="1">
      <c r="A2" s="1749" t="s">
        <v>544</v>
      </c>
      <c r="B2" s="99"/>
      <c r="C2" s="1741" t="s">
        <v>490</v>
      </c>
      <c r="D2" s="1741"/>
      <c r="E2" s="1741"/>
      <c r="F2" s="1741"/>
    </row>
    <row r="3" spans="1:7" ht="21" customHeight="1">
      <c r="A3" s="1750"/>
      <c r="B3" s="378"/>
      <c r="C3" s="1748" t="s">
        <v>156</v>
      </c>
      <c r="D3" s="1748"/>
      <c r="E3" s="1748"/>
      <c r="F3" s="1748"/>
    </row>
    <row r="4" spans="1:7" s="98" customFormat="1" ht="43.5" customHeight="1">
      <c r="A4" s="1747" t="s">
        <v>48</v>
      </c>
      <c r="B4" s="366" t="s">
        <v>1088</v>
      </c>
      <c r="C4" s="598" t="s">
        <v>459</v>
      </c>
      <c r="D4" s="1742" t="s">
        <v>1159</v>
      </c>
      <c r="E4" s="1743"/>
      <c r="F4" s="1744"/>
    </row>
    <row r="5" spans="1:7" s="98" customFormat="1" ht="36.75" customHeight="1">
      <c r="A5" s="1747"/>
      <c r="B5" s="366" t="s">
        <v>1845</v>
      </c>
      <c r="C5" s="87" t="s">
        <v>1840</v>
      </c>
      <c r="D5" s="87" t="s">
        <v>1841</v>
      </c>
      <c r="E5" s="87" t="s">
        <v>1842</v>
      </c>
      <c r="F5" s="87" t="s">
        <v>1843</v>
      </c>
    </row>
    <row r="6" spans="1:7" ht="21" customHeight="1">
      <c r="A6" s="95" t="s">
        <v>539</v>
      </c>
      <c r="B6" s="95"/>
      <c r="C6" s="95"/>
      <c r="D6" s="95"/>
      <c r="E6" s="95"/>
      <c r="F6" s="95"/>
    </row>
    <row r="7" spans="1:7" ht="21" customHeight="1">
      <c r="A7" s="96" t="s">
        <v>536</v>
      </c>
      <c r="B7" s="1751" t="s">
        <v>1568</v>
      </c>
      <c r="C7" s="1752"/>
      <c r="D7" s="1752"/>
      <c r="E7" s="1752"/>
      <c r="F7" s="1753"/>
    </row>
    <row r="8" spans="1:7" ht="21" customHeight="1">
      <c r="A8" s="96" t="s">
        <v>538</v>
      </c>
      <c r="B8" s="1754"/>
      <c r="C8" s="1755"/>
      <c r="D8" s="1755"/>
      <c r="E8" s="1755"/>
      <c r="F8" s="1756"/>
    </row>
    <row r="9" spans="1:7" ht="21" customHeight="1">
      <c r="A9" s="96" t="s">
        <v>538</v>
      </c>
      <c r="B9" s="1754"/>
      <c r="C9" s="1755"/>
      <c r="D9" s="1755"/>
      <c r="E9" s="1755"/>
      <c r="F9" s="1756"/>
    </row>
    <row r="10" spans="1:7" ht="31.5" customHeight="1">
      <c r="A10" s="96" t="s">
        <v>538</v>
      </c>
      <c r="B10" s="1754"/>
      <c r="C10" s="1755"/>
      <c r="D10" s="1755"/>
      <c r="E10" s="1755"/>
      <c r="F10" s="1756"/>
    </row>
    <row r="11" spans="1:7" ht="21" customHeight="1">
      <c r="A11" s="96" t="s">
        <v>537</v>
      </c>
      <c r="B11" s="1754"/>
      <c r="C11" s="1755"/>
      <c r="D11" s="1755"/>
      <c r="E11" s="1755"/>
      <c r="F11" s="1756"/>
    </row>
    <row r="12" spans="1:7" ht="21" customHeight="1">
      <c r="A12" s="96" t="s">
        <v>538</v>
      </c>
      <c r="B12" s="1754"/>
      <c r="C12" s="1755"/>
      <c r="D12" s="1755"/>
      <c r="E12" s="1755"/>
      <c r="F12" s="1756"/>
    </row>
    <row r="13" spans="1:7" ht="21" customHeight="1">
      <c r="A13" s="96" t="s">
        <v>538</v>
      </c>
      <c r="B13" s="1754"/>
      <c r="C13" s="1755"/>
      <c r="D13" s="1755"/>
      <c r="E13" s="1755"/>
      <c r="F13" s="1756"/>
    </row>
    <row r="14" spans="1:7" ht="30" customHeight="1">
      <c r="A14" s="96" t="s">
        <v>538</v>
      </c>
      <c r="B14" s="1754"/>
      <c r="C14" s="1755"/>
      <c r="D14" s="1755"/>
      <c r="E14" s="1755"/>
      <c r="F14" s="1756"/>
    </row>
    <row r="15" spans="1:7" ht="21" customHeight="1">
      <c r="A15" s="95" t="s">
        <v>540</v>
      </c>
      <c r="B15" s="1754"/>
      <c r="C15" s="1755"/>
      <c r="D15" s="1755"/>
      <c r="E15" s="1755"/>
      <c r="F15" s="1756"/>
    </row>
    <row r="16" spans="1:7" ht="21" customHeight="1">
      <c r="A16" s="97"/>
      <c r="B16" s="1754"/>
      <c r="C16" s="1755"/>
      <c r="D16" s="1755"/>
      <c r="E16" s="1755"/>
      <c r="F16" s="1756"/>
    </row>
    <row r="17" spans="1:6" ht="21" customHeight="1">
      <c r="A17" s="95" t="s">
        <v>541</v>
      </c>
      <c r="B17" s="1754"/>
      <c r="C17" s="1755"/>
      <c r="D17" s="1755"/>
      <c r="E17" s="1755"/>
      <c r="F17" s="1756"/>
    </row>
    <row r="18" spans="1:6" ht="21" customHeight="1">
      <c r="A18" s="96" t="s">
        <v>219</v>
      </c>
      <c r="B18" s="1754"/>
      <c r="C18" s="1755"/>
      <c r="D18" s="1755"/>
      <c r="E18" s="1755"/>
      <c r="F18" s="1756"/>
    </row>
    <row r="19" spans="1:6" ht="21" customHeight="1">
      <c r="A19" s="96" t="s">
        <v>538</v>
      </c>
      <c r="B19" s="1754"/>
      <c r="C19" s="1755"/>
      <c r="D19" s="1755"/>
      <c r="E19" s="1755"/>
      <c r="F19" s="1756"/>
    </row>
    <row r="20" spans="1:6" ht="21" customHeight="1">
      <c r="A20" s="96" t="s">
        <v>538</v>
      </c>
      <c r="B20" s="1754"/>
      <c r="C20" s="1755"/>
      <c r="D20" s="1755"/>
      <c r="E20" s="1755"/>
      <c r="F20" s="1756"/>
    </row>
    <row r="21" spans="1:6" ht="21" customHeight="1">
      <c r="A21" s="96" t="s">
        <v>538</v>
      </c>
      <c r="B21" s="1754"/>
      <c r="C21" s="1755"/>
      <c r="D21" s="1755"/>
      <c r="E21" s="1755"/>
      <c r="F21" s="1756"/>
    </row>
    <row r="22" spans="1:6" ht="21" customHeight="1">
      <c r="A22" s="96" t="s">
        <v>542</v>
      </c>
      <c r="B22" s="1754"/>
      <c r="C22" s="1755"/>
      <c r="D22" s="1755"/>
      <c r="E22" s="1755"/>
      <c r="F22" s="1756"/>
    </row>
    <row r="23" spans="1:6" ht="21" customHeight="1">
      <c r="A23" s="96" t="s">
        <v>538</v>
      </c>
      <c r="B23" s="1754"/>
      <c r="C23" s="1755"/>
      <c r="D23" s="1755"/>
      <c r="E23" s="1755"/>
      <c r="F23" s="1756"/>
    </row>
    <row r="24" spans="1:6" ht="21" customHeight="1">
      <c r="A24" s="96" t="s">
        <v>538</v>
      </c>
      <c r="B24" s="1754"/>
      <c r="C24" s="1755"/>
      <c r="D24" s="1755"/>
      <c r="E24" s="1755"/>
      <c r="F24" s="1756"/>
    </row>
    <row r="25" spans="1:6" ht="29.25" customHeight="1">
      <c r="A25" s="96" t="s">
        <v>538</v>
      </c>
      <c r="B25" s="1757"/>
      <c r="C25" s="1758"/>
      <c r="D25" s="1758"/>
      <c r="E25" s="1758"/>
      <c r="F25" s="1759"/>
    </row>
    <row r="26" spans="1:6" ht="21" customHeight="1">
      <c r="A26" s="95" t="s">
        <v>543</v>
      </c>
      <c r="B26" s="95"/>
      <c r="C26" s="95"/>
      <c r="D26" s="95"/>
      <c r="E26" s="95"/>
      <c r="F26" s="95"/>
    </row>
    <row r="27" spans="1:6">
      <c r="A27" s="78"/>
    </row>
    <row r="28" spans="1:6">
      <c r="A28" s="78"/>
    </row>
    <row r="29" spans="1:6">
      <c r="A29" s="78"/>
    </row>
    <row r="30" spans="1:6">
      <c r="A30" s="78"/>
      <c r="C30" s="1746" t="s">
        <v>401</v>
      </c>
      <c r="D30" s="1746"/>
      <c r="E30" s="1746"/>
      <c r="F30" s="1746"/>
    </row>
    <row r="31" spans="1:6" ht="21" customHeight="1">
      <c r="A31" s="78"/>
    </row>
    <row r="32" spans="1:6">
      <c r="A32" s="78"/>
    </row>
    <row r="33" spans="1:1">
      <c r="A33" s="78"/>
    </row>
    <row r="34" spans="1:1">
      <c r="A34" s="78"/>
    </row>
    <row r="35" spans="1:1">
      <c r="A35" s="78"/>
    </row>
    <row r="36" spans="1:1">
      <c r="A36" s="78"/>
    </row>
  </sheetData>
  <mergeCells count="8">
    <mergeCell ref="A1:F1"/>
    <mergeCell ref="C30:F30"/>
    <mergeCell ref="A4:A5"/>
    <mergeCell ref="C3:F3"/>
    <mergeCell ref="A2:A3"/>
    <mergeCell ref="B7:F25"/>
    <mergeCell ref="C2:F2"/>
    <mergeCell ref="D4:F4"/>
  </mergeCells>
  <pageMargins left="0.41" right="0.70866141732283472" top="0.74803149606299213" bottom="0.74803149606299213" header="0.31496062992125984" footer="0.31496062992125984"/>
  <pageSetup paperSize="9" scale="64"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80"/>
  <sheetViews>
    <sheetView showGridLines="0" view="pageBreakPreview" zoomScale="80" zoomScaleNormal="100" zoomScaleSheetLayoutView="80" workbookViewId="0">
      <selection activeCell="C6" sqref="C6:K15"/>
    </sheetView>
  </sheetViews>
  <sheetFormatPr defaultColWidth="9.140625" defaultRowHeight="15"/>
  <cols>
    <col min="1" max="1" width="9.140625" style="609"/>
    <col min="2" max="2" width="34.7109375" style="609" customWidth="1"/>
    <col min="3" max="3" width="11.5703125" style="609" bestFit="1" customWidth="1"/>
    <col min="4" max="4" width="11.42578125" style="609" bestFit="1" customWidth="1"/>
    <col min="5" max="5" width="10.7109375" style="609" bestFit="1" customWidth="1"/>
    <col min="6" max="6" width="11.5703125" style="609" bestFit="1" customWidth="1"/>
    <col min="7" max="7" width="11.42578125" style="609" bestFit="1" customWidth="1"/>
    <col min="8" max="8" width="10.7109375" style="609" bestFit="1" customWidth="1"/>
    <col min="9" max="9" width="11.5703125" style="609" bestFit="1" customWidth="1"/>
    <col min="10" max="10" width="11.42578125" style="609" bestFit="1" customWidth="1"/>
    <col min="11" max="11" width="10.7109375" style="609" bestFit="1" customWidth="1"/>
    <col min="12" max="16384" width="9.140625" style="609"/>
  </cols>
  <sheetData>
    <row r="1" spans="1:11" ht="21" customHeight="1">
      <c r="A1" s="2303" t="s">
        <v>1158</v>
      </c>
      <c r="B1" s="2303"/>
      <c r="C1" s="2303"/>
      <c r="D1" s="2303"/>
      <c r="E1" s="2303"/>
      <c r="F1" s="2303"/>
      <c r="G1" s="2303"/>
      <c r="H1" s="2303"/>
      <c r="I1" s="2303"/>
      <c r="J1" s="2303"/>
      <c r="K1" s="2303"/>
    </row>
    <row r="2" spans="1:11" ht="21" customHeight="1">
      <c r="A2" s="1962" t="s">
        <v>420</v>
      </c>
      <c r="B2" s="1962"/>
      <c r="C2" s="1962"/>
      <c r="D2" s="1962"/>
      <c r="E2" s="1962"/>
      <c r="F2" s="1962"/>
      <c r="G2" s="1962"/>
      <c r="H2" s="234"/>
      <c r="I2" s="234"/>
      <c r="J2" s="610"/>
      <c r="K2" s="605" t="s">
        <v>836</v>
      </c>
    </row>
    <row r="3" spans="1:11" ht="21" customHeight="1">
      <c r="A3" s="675"/>
      <c r="B3" s="675"/>
      <c r="C3" s="601" t="s">
        <v>1155</v>
      </c>
      <c r="D3" s="601"/>
      <c r="E3" s="601"/>
      <c r="F3" s="601"/>
      <c r="G3" s="601"/>
      <c r="H3" s="676"/>
      <c r="I3" s="676"/>
      <c r="J3" s="601"/>
      <c r="K3" s="677" t="s">
        <v>320</v>
      </c>
    </row>
    <row r="4" spans="1:11" ht="21" customHeight="1">
      <c r="A4" s="2304"/>
      <c r="B4" s="2250" t="s">
        <v>48</v>
      </c>
      <c r="C4" s="2302" t="s">
        <v>566</v>
      </c>
      <c r="D4" s="2302"/>
      <c r="E4" s="2302" t="s">
        <v>135</v>
      </c>
      <c r="F4" s="2302" t="s">
        <v>459</v>
      </c>
      <c r="G4" s="2302"/>
      <c r="H4" s="2302"/>
      <c r="I4" s="2302" t="s">
        <v>747</v>
      </c>
      <c r="J4" s="2302"/>
      <c r="K4" s="2302"/>
    </row>
    <row r="5" spans="1:11" ht="61.5" customHeight="1">
      <c r="A5" s="2304"/>
      <c r="B5" s="2250"/>
      <c r="C5" s="678" t="s">
        <v>424</v>
      </c>
      <c r="D5" s="678" t="s">
        <v>422</v>
      </c>
      <c r="E5" s="678" t="s">
        <v>423</v>
      </c>
      <c r="F5" s="678" t="s">
        <v>424</v>
      </c>
      <c r="G5" s="678" t="s">
        <v>422</v>
      </c>
      <c r="H5" s="678" t="s">
        <v>423</v>
      </c>
      <c r="I5" s="678" t="s">
        <v>424</v>
      </c>
      <c r="J5" s="678" t="s">
        <v>422</v>
      </c>
      <c r="K5" s="678" t="s">
        <v>423</v>
      </c>
    </row>
    <row r="6" spans="1:11" ht="21" customHeight="1">
      <c r="A6" s="679"/>
      <c r="B6" s="678" t="s">
        <v>69</v>
      </c>
      <c r="C6" s="2305" t="s">
        <v>1574</v>
      </c>
      <c r="D6" s="2306"/>
      <c r="E6" s="2306"/>
      <c r="F6" s="2306"/>
      <c r="G6" s="2306"/>
      <c r="H6" s="2306"/>
      <c r="I6" s="2306"/>
      <c r="J6" s="2306"/>
      <c r="K6" s="2307"/>
    </row>
    <row r="7" spans="1:11" ht="21" customHeight="1">
      <c r="A7" s="679" t="s">
        <v>64</v>
      </c>
      <c r="B7" s="678" t="s">
        <v>301</v>
      </c>
      <c r="C7" s="2308"/>
      <c r="D7" s="2309"/>
      <c r="E7" s="2309"/>
      <c r="F7" s="2309"/>
      <c r="G7" s="2309"/>
      <c r="H7" s="2309"/>
      <c r="I7" s="2309"/>
      <c r="J7" s="2309"/>
      <c r="K7" s="2310"/>
    </row>
    <row r="8" spans="1:11" ht="21" customHeight="1">
      <c r="A8" s="679" t="s">
        <v>302</v>
      </c>
      <c r="B8" s="680" t="s">
        <v>70</v>
      </c>
      <c r="C8" s="2308"/>
      <c r="D8" s="2309"/>
      <c r="E8" s="2309"/>
      <c r="F8" s="2309"/>
      <c r="G8" s="2309"/>
      <c r="H8" s="2309"/>
      <c r="I8" s="2309"/>
      <c r="J8" s="2309"/>
      <c r="K8" s="2310"/>
    </row>
    <row r="9" spans="1:11" ht="21" customHeight="1">
      <c r="A9" s="679" t="s">
        <v>303</v>
      </c>
      <c r="B9" s="680" t="s">
        <v>251</v>
      </c>
      <c r="C9" s="2308"/>
      <c r="D9" s="2309"/>
      <c r="E9" s="2309"/>
      <c r="F9" s="2309"/>
      <c r="G9" s="2309"/>
      <c r="H9" s="2309"/>
      <c r="I9" s="2309"/>
      <c r="J9" s="2309"/>
      <c r="K9" s="2310"/>
    </row>
    <row r="10" spans="1:11" ht="21" customHeight="1">
      <c r="A10" s="679" t="s">
        <v>308</v>
      </c>
      <c r="B10" s="680" t="s">
        <v>71</v>
      </c>
      <c r="C10" s="2308"/>
      <c r="D10" s="2309"/>
      <c r="E10" s="2309"/>
      <c r="F10" s="2309"/>
      <c r="G10" s="2309"/>
      <c r="H10" s="2309"/>
      <c r="I10" s="2309"/>
      <c r="J10" s="2309"/>
      <c r="K10" s="2310"/>
    </row>
    <row r="11" spans="1:11" ht="21" customHeight="1">
      <c r="A11" s="679"/>
      <c r="B11" s="680" t="s">
        <v>309</v>
      </c>
      <c r="C11" s="2308"/>
      <c r="D11" s="2309"/>
      <c r="E11" s="2309"/>
      <c r="F11" s="2309"/>
      <c r="G11" s="2309"/>
      <c r="H11" s="2309"/>
      <c r="I11" s="2309"/>
      <c r="J11" s="2309"/>
      <c r="K11" s="2310"/>
    </row>
    <row r="12" spans="1:11" ht="21" customHeight="1">
      <c r="A12" s="679" t="s">
        <v>65</v>
      </c>
      <c r="B12" s="680" t="s">
        <v>72</v>
      </c>
      <c r="C12" s="2308"/>
      <c r="D12" s="2309"/>
      <c r="E12" s="2309"/>
      <c r="F12" s="2309"/>
      <c r="G12" s="2309"/>
      <c r="H12" s="2309"/>
      <c r="I12" s="2309"/>
      <c r="J12" s="2309"/>
      <c r="K12" s="2310"/>
    </row>
    <row r="13" spans="1:11" ht="21" customHeight="1">
      <c r="A13" s="679" t="s">
        <v>66</v>
      </c>
      <c r="B13" s="680" t="s">
        <v>304</v>
      </c>
      <c r="C13" s="2308"/>
      <c r="D13" s="2309"/>
      <c r="E13" s="2309"/>
      <c r="F13" s="2309"/>
      <c r="G13" s="2309"/>
      <c r="H13" s="2309"/>
      <c r="I13" s="2309"/>
      <c r="J13" s="2309"/>
      <c r="K13" s="2310"/>
    </row>
    <row r="14" spans="1:11" ht="21" customHeight="1">
      <c r="A14" s="679" t="s">
        <v>74</v>
      </c>
      <c r="B14" s="680" t="s">
        <v>89</v>
      </c>
      <c r="C14" s="2308"/>
      <c r="D14" s="2309"/>
      <c r="E14" s="2309"/>
      <c r="F14" s="2309"/>
      <c r="G14" s="2309"/>
      <c r="H14" s="2309"/>
      <c r="I14" s="2309"/>
      <c r="J14" s="2309"/>
      <c r="K14" s="2310"/>
    </row>
    <row r="15" spans="1:11" ht="21" customHeight="1">
      <c r="A15" s="679" t="s">
        <v>75</v>
      </c>
      <c r="B15" s="681" t="s">
        <v>799</v>
      </c>
      <c r="C15" s="2311"/>
      <c r="D15" s="2312"/>
      <c r="E15" s="2312"/>
      <c r="F15" s="2312"/>
      <c r="G15" s="2312"/>
      <c r="H15" s="2312"/>
      <c r="I15" s="2312"/>
      <c r="J15" s="2312"/>
      <c r="K15" s="2313"/>
    </row>
    <row r="16" spans="1:11" ht="21" customHeight="1">
      <c r="A16" s="682"/>
      <c r="B16" s="683" t="s">
        <v>421</v>
      </c>
      <c r="C16" s="684"/>
      <c r="D16" s="684"/>
      <c r="E16" s="685">
        <f>SUM(E11:E14)</f>
        <v>0</v>
      </c>
      <c r="F16" s="684"/>
      <c r="G16" s="684"/>
      <c r="H16" s="685">
        <f>SUM(H11:H14)</f>
        <v>0</v>
      </c>
      <c r="I16" s="684"/>
      <c r="J16" s="684"/>
      <c r="K16" s="685">
        <f>SUM(K11:K14)</f>
        <v>0</v>
      </c>
    </row>
    <row r="17" spans="1:11" ht="21" customHeight="1"/>
    <row r="18" spans="1:11" ht="21" customHeight="1"/>
    <row r="19" spans="1:11" ht="21" customHeight="1">
      <c r="H19" s="666" t="s">
        <v>401</v>
      </c>
    </row>
    <row r="20" spans="1:11" ht="21" customHeight="1"/>
    <row r="21" spans="1:11" ht="21" hidden="1" customHeight="1"/>
    <row r="22" spans="1:11" ht="21" hidden="1" customHeight="1">
      <c r="A22" s="176" t="s">
        <v>187</v>
      </c>
      <c r="B22" s="176"/>
      <c r="C22" s="176"/>
      <c r="D22" s="176"/>
      <c r="E22" s="176"/>
      <c r="F22" s="176"/>
      <c r="G22" s="176"/>
      <c r="H22" s="176"/>
      <c r="I22" s="176"/>
      <c r="J22" s="176"/>
      <c r="K22" s="176"/>
    </row>
    <row r="23" spans="1:11" ht="21" hidden="1" customHeight="1">
      <c r="A23" s="196">
        <v>1</v>
      </c>
      <c r="B23" s="196" t="s">
        <v>339</v>
      </c>
      <c r="C23" s="1991"/>
      <c r="D23" s="1991"/>
      <c r="E23" s="1991"/>
      <c r="F23" s="1991"/>
      <c r="G23" s="1991"/>
      <c r="H23" s="1991"/>
      <c r="I23" s="1991"/>
      <c r="J23" s="1991"/>
      <c r="K23" s="1991"/>
    </row>
    <row r="24" spans="1:11" ht="21" hidden="1" customHeight="1">
      <c r="A24" s="228">
        <v>2</v>
      </c>
      <c r="B24" s="229" t="s">
        <v>329</v>
      </c>
      <c r="C24" s="230"/>
      <c r="D24" s="230"/>
      <c r="E24" s="230"/>
      <c r="F24" s="230"/>
      <c r="G24" s="230"/>
      <c r="H24" s="230"/>
      <c r="I24" s="230"/>
      <c r="J24" s="230"/>
      <c r="K24" s="230"/>
    </row>
    <row r="25" spans="1:11" ht="21" hidden="1" customHeight="1">
      <c r="A25" s="196">
        <v>3</v>
      </c>
      <c r="B25" s="197" t="s">
        <v>330</v>
      </c>
      <c r="C25" s="620"/>
      <c r="D25" s="620"/>
      <c r="E25" s="620"/>
      <c r="F25" s="620"/>
      <c r="G25" s="620"/>
      <c r="H25" s="620"/>
      <c r="I25" s="620"/>
      <c r="J25" s="620"/>
      <c r="K25" s="620"/>
    </row>
    <row r="26" spans="1:11" ht="21" hidden="1" customHeight="1">
      <c r="A26" s="196">
        <v>4</v>
      </c>
      <c r="B26" s="197" t="s">
        <v>331</v>
      </c>
      <c r="C26" s="1993"/>
      <c r="D26" s="1993"/>
      <c r="E26" s="1993"/>
      <c r="F26" s="1993"/>
      <c r="G26" s="1993"/>
      <c r="H26" s="1993"/>
      <c r="I26" s="1993"/>
      <c r="J26" s="1993"/>
      <c r="K26" s="1993"/>
    </row>
    <row r="27" spans="1:11" ht="21" hidden="1" customHeight="1">
      <c r="A27" s="196">
        <v>5</v>
      </c>
      <c r="B27" s="197" t="s">
        <v>332</v>
      </c>
      <c r="C27" s="620"/>
      <c r="D27" s="620"/>
      <c r="E27" s="620"/>
      <c r="F27" s="620"/>
      <c r="G27" s="620"/>
      <c r="H27" s="620"/>
      <c r="I27" s="620"/>
      <c r="J27" s="620"/>
      <c r="K27" s="620"/>
    </row>
    <row r="28" spans="1:11" ht="21" customHeight="1"/>
    <row r="29" spans="1:11" ht="21" customHeight="1"/>
    <row r="30" spans="1:11" ht="21" customHeight="1"/>
    <row r="31" spans="1:11" ht="21" customHeight="1"/>
    <row r="32" spans="1:11"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sheetData>
  <mergeCells count="10">
    <mergeCell ref="C26:K26"/>
    <mergeCell ref="C4:E4"/>
    <mergeCell ref="F4:H4"/>
    <mergeCell ref="I4:K4"/>
    <mergeCell ref="A1:K1"/>
    <mergeCell ref="B4:B5"/>
    <mergeCell ref="A4:A5"/>
    <mergeCell ref="A2:G2"/>
    <mergeCell ref="C23:K23"/>
    <mergeCell ref="C6:K15"/>
  </mergeCells>
  <pageMargins left="0.7" right="0.7" top="0.75" bottom="0.75" header="0.3" footer="0.3"/>
  <pageSetup paperSize="9" scale="90"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30"/>
  <sheetViews>
    <sheetView showGridLines="0" view="pageBreakPreview" topLeftCell="A6" zoomScale="80" zoomScaleNormal="60" zoomScaleSheetLayoutView="80" workbookViewId="0">
      <selection activeCell="D23" sqref="D23"/>
    </sheetView>
  </sheetViews>
  <sheetFormatPr defaultColWidth="9.140625" defaultRowHeight="15"/>
  <cols>
    <col min="1" max="1" width="9.140625" style="1055"/>
    <col min="2" max="2" width="42.28515625" style="1055" customWidth="1"/>
    <col min="3" max="4" width="13.140625" style="1055" customWidth="1"/>
    <col min="5" max="6" width="16.140625" style="1055" customWidth="1"/>
    <col min="7" max="16384" width="9.140625" style="1055"/>
  </cols>
  <sheetData>
    <row r="1" spans="1:5">
      <c r="A1" s="2314" t="s">
        <v>1158</v>
      </c>
      <c r="B1" s="2314"/>
      <c r="C1" s="2314"/>
      <c r="D1" s="2314"/>
    </row>
    <row r="2" spans="1:5">
      <c r="A2" s="2019" t="s">
        <v>1250</v>
      </c>
      <c r="B2" s="2019"/>
      <c r="C2" s="179"/>
      <c r="D2" s="1636" t="s">
        <v>1249</v>
      </c>
      <c r="E2" s="1636"/>
    </row>
    <row r="3" spans="1:5">
      <c r="A3" s="1067"/>
      <c r="B3" s="1067"/>
      <c r="C3" s="1067"/>
      <c r="D3" s="1067"/>
    </row>
    <row r="4" spans="1:5" ht="45.75" customHeight="1">
      <c r="A4" s="2315" t="s">
        <v>150</v>
      </c>
      <c r="B4" s="1909" t="s">
        <v>48</v>
      </c>
      <c r="C4" s="2316" t="s">
        <v>2255</v>
      </c>
      <c r="D4" s="2316"/>
    </row>
    <row r="5" spans="1:5" ht="60">
      <c r="A5" s="2315"/>
      <c r="B5" s="1909"/>
      <c r="C5" s="1068" t="s">
        <v>1172</v>
      </c>
      <c r="D5" s="1060" t="s">
        <v>1161</v>
      </c>
    </row>
    <row r="6" spans="1:5">
      <c r="A6" s="73"/>
      <c r="B6" s="1069" t="s">
        <v>152</v>
      </c>
      <c r="C6" s="1070"/>
      <c r="D6" s="1071">
        <v>0.99</v>
      </c>
    </row>
    <row r="7" spans="1:5">
      <c r="A7" s="73"/>
      <c r="B7" s="1069" t="s">
        <v>1251</v>
      </c>
      <c r="C7" s="1070"/>
      <c r="D7" s="1072"/>
    </row>
    <row r="8" spans="1:5">
      <c r="A8" s="73"/>
      <c r="B8" s="1073">
        <v>43922</v>
      </c>
      <c r="C8" s="1070"/>
      <c r="D8" s="1074">
        <v>0.99681500000000001</v>
      </c>
    </row>
    <row r="9" spans="1:5">
      <c r="A9" s="73"/>
      <c r="B9" s="1073">
        <v>43952</v>
      </c>
      <c r="C9" s="1075"/>
      <c r="D9" s="1074">
        <v>0.993309</v>
      </c>
    </row>
    <row r="10" spans="1:5">
      <c r="A10" s="73"/>
      <c r="B10" s="1073">
        <v>43983</v>
      </c>
      <c r="C10" s="1075"/>
      <c r="D10" s="1074">
        <v>0.99441500000000005</v>
      </c>
    </row>
    <row r="11" spans="1:5">
      <c r="A11" s="73"/>
      <c r="B11" s="1073">
        <v>44013</v>
      </c>
      <c r="C11" s="1075"/>
      <c r="D11" s="1074">
        <v>0.99534599999999995</v>
      </c>
    </row>
    <row r="12" spans="1:5">
      <c r="A12" s="73"/>
      <c r="B12" s="1073">
        <v>44044</v>
      </c>
      <c r="C12" s="1075"/>
      <c r="D12" s="1074">
        <v>0.99773999999999996</v>
      </c>
    </row>
    <row r="13" spans="1:5">
      <c r="A13" s="100"/>
      <c r="B13" s="1073">
        <v>44075</v>
      </c>
      <c r="C13" s="73"/>
      <c r="D13" s="1074">
        <v>0.996641</v>
      </c>
    </row>
    <row r="14" spans="1:5">
      <c r="A14" s="101"/>
      <c r="B14" s="1073">
        <v>44105</v>
      </c>
      <c r="C14" s="101"/>
      <c r="D14" s="1074">
        <v>0.99826899999999996</v>
      </c>
    </row>
    <row r="15" spans="1:5">
      <c r="A15" s="101"/>
      <c r="B15" s="1073">
        <v>44136</v>
      </c>
      <c r="C15" s="101"/>
      <c r="D15" s="1074">
        <v>0.99779200000000001</v>
      </c>
    </row>
    <row r="16" spans="1:5">
      <c r="A16" s="101"/>
      <c r="B16" s="1073">
        <v>44166</v>
      </c>
      <c r="C16" s="101"/>
      <c r="D16" s="1074">
        <v>0.99522200000000005</v>
      </c>
    </row>
    <row r="17" spans="1:4">
      <c r="A17" s="101"/>
      <c r="B17" s="1073">
        <v>44197</v>
      </c>
      <c r="C17" s="101"/>
      <c r="D17" s="1074">
        <v>0.99517500000000003</v>
      </c>
    </row>
    <row r="18" spans="1:4">
      <c r="A18" s="101"/>
      <c r="B18" s="1073">
        <v>44228</v>
      </c>
      <c r="C18" s="101"/>
      <c r="D18" s="1074">
        <v>0.99716800000000005</v>
      </c>
    </row>
    <row r="19" spans="1:4">
      <c r="A19" s="101"/>
      <c r="B19" s="1073">
        <v>44256</v>
      </c>
      <c r="C19" s="101"/>
      <c r="D19" s="1074">
        <v>0.99599099999999996</v>
      </c>
    </row>
    <row r="20" spans="1:4">
      <c r="A20" s="101"/>
      <c r="B20" s="101" t="s">
        <v>1251</v>
      </c>
      <c r="C20" s="101"/>
      <c r="D20" s="1071">
        <f>AVERAGE(D8:D19)</f>
        <v>0.99615691666666661</v>
      </c>
    </row>
    <row r="21" spans="1:4">
      <c r="A21" s="101"/>
      <c r="B21" s="101" t="s">
        <v>1252</v>
      </c>
      <c r="C21" s="101"/>
      <c r="D21" s="1076">
        <f>D20-D6</f>
        <v>6.1569166666666231E-3</v>
      </c>
    </row>
    <row r="22" spans="1:4" ht="15.75">
      <c r="A22" s="101"/>
      <c r="B22" s="1088" t="s">
        <v>2180</v>
      </c>
      <c r="C22" s="101"/>
      <c r="D22" s="1087">
        <f ca="1">'F1'!E43</f>
        <v>1209.1317142051216</v>
      </c>
    </row>
    <row r="23" spans="1:4">
      <c r="A23" s="101"/>
      <c r="B23" s="623" t="s">
        <v>1825</v>
      </c>
      <c r="C23" s="623"/>
      <c r="D23" s="1077">
        <f ca="1">D21*D22</f>
        <v>7.4445232033846978</v>
      </c>
    </row>
    <row r="26" spans="1:4">
      <c r="B26" s="623" t="s">
        <v>48</v>
      </c>
      <c r="C26" s="623" t="s">
        <v>1820</v>
      </c>
      <c r="D26" s="623" t="s">
        <v>230</v>
      </c>
    </row>
    <row r="27" spans="1:4">
      <c r="B27" s="101" t="s">
        <v>1821</v>
      </c>
      <c r="C27" s="1670">
        <v>3.9199999999999999E-2</v>
      </c>
      <c r="D27" s="1670">
        <v>2.92E-2</v>
      </c>
    </row>
    <row r="28" spans="1:4">
      <c r="B28" s="101" t="s">
        <v>1823</v>
      </c>
      <c r="C28" s="101"/>
      <c r="D28" s="1076">
        <f>C27-D27</f>
        <v>9.9999999999999985E-3</v>
      </c>
    </row>
    <row r="29" spans="1:4">
      <c r="B29" s="101" t="s">
        <v>1822</v>
      </c>
      <c r="C29" s="101"/>
      <c r="D29" s="245">
        <f ca="1">'F1'!E43</f>
        <v>1209.1317142051216</v>
      </c>
    </row>
    <row r="30" spans="1:4" ht="30">
      <c r="B30" s="655" t="s">
        <v>1824</v>
      </c>
      <c r="C30" s="623"/>
      <c r="D30" s="1078">
        <f ca="1">D29*D28</f>
        <v>12.091317142051214</v>
      </c>
    </row>
  </sheetData>
  <mergeCells count="5">
    <mergeCell ref="A1:D1"/>
    <mergeCell ref="A2:B2"/>
    <mergeCell ref="A4:A5"/>
    <mergeCell ref="B4:B5"/>
    <mergeCell ref="C4:D4"/>
  </mergeCells>
  <pageMargins left="0.7" right="0.7" top="0.75" bottom="0.75" header="0.3" footer="0.3"/>
  <pageSetup scale="85"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3:AE34"/>
  <sheetViews>
    <sheetView showGridLines="0" zoomScale="90" zoomScaleNormal="90" workbookViewId="0">
      <pane xSplit="1" ySplit="4" topLeftCell="C5" activePane="bottomRight" state="frozen"/>
      <selection pane="topRight" activeCell="B1" sqref="B1"/>
      <selection pane="bottomLeft" activeCell="A5" sqref="A5"/>
      <selection pane="bottomRight" activeCell="Z21" sqref="Z21"/>
    </sheetView>
  </sheetViews>
  <sheetFormatPr defaultColWidth="9.140625" defaultRowHeight="12.75"/>
  <cols>
    <col min="1" max="1" width="17.42578125" style="864" customWidth="1"/>
    <col min="2" max="2" width="11" style="864" customWidth="1"/>
    <col min="3" max="5" width="11.7109375" style="864" customWidth="1"/>
    <col min="6" max="11" width="11" style="864" customWidth="1"/>
    <col min="12" max="17" width="11.85546875" style="864" customWidth="1"/>
    <col min="18" max="18" width="12.28515625" style="864" customWidth="1"/>
    <col min="19" max="29" width="13" style="864" customWidth="1"/>
    <col min="30" max="30" width="10.7109375" style="864" bestFit="1" customWidth="1"/>
    <col min="31" max="31" width="10.7109375" style="864" customWidth="1"/>
    <col min="32" max="16384" width="9.140625" style="864"/>
  </cols>
  <sheetData>
    <row r="3" spans="1:31" ht="12.75" customHeight="1">
      <c r="A3" s="2317" t="s">
        <v>1873</v>
      </c>
      <c r="B3" s="2318" t="s">
        <v>1874</v>
      </c>
      <c r="C3" s="2319"/>
      <c r="D3" s="2319"/>
      <c r="E3" s="2319"/>
      <c r="F3" s="2319"/>
      <c r="G3" s="2319"/>
      <c r="H3" s="2319"/>
      <c r="I3" s="2319"/>
      <c r="J3" s="2319"/>
      <c r="K3" s="2320"/>
      <c r="L3" s="2321" t="s">
        <v>1875</v>
      </c>
      <c r="M3" s="2321"/>
      <c r="N3" s="2321"/>
      <c r="O3" s="2321"/>
      <c r="P3" s="2321"/>
      <c r="Q3" s="2321"/>
      <c r="R3" s="2322" t="s">
        <v>1876</v>
      </c>
      <c r="S3" s="2323"/>
      <c r="T3" s="2323"/>
      <c r="U3" s="2323"/>
      <c r="V3" s="2323"/>
      <c r="W3" s="2323"/>
      <c r="X3" s="2323"/>
      <c r="Y3" s="2323"/>
      <c r="Z3" s="2323"/>
      <c r="AA3" s="2323"/>
      <c r="AB3" s="2324"/>
      <c r="AC3" s="2322" t="s">
        <v>1877</v>
      </c>
      <c r="AD3" s="2323"/>
      <c r="AE3" s="2324"/>
    </row>
    <row r="4" spans="1:31">
      <c r="A4" s="2317"/>
      <c r="B4" s="865" t="s">
        <v>1878</v>
      </c>
      <c r="C4" s="865" t="s">
        <v>1879</v>
      </c>
      <c r="D4" s="865" t="s">
        <v>1880</v>
      </c>
      <c r="E4" s="865" t="s">
        <v>1836</v>
      </c>
      <c r="F4" s="865" t="s">
        <v>1154</v>
      </c>
      <c r="G4" s="865" t="s">
        <v>1109</v>
      </c>
      <c r="H4" s="865" t="s">
        <v>1215</v>
      </c>
      <c r="I4" s="865" t="s">
        <v>1107</v>
      </c>
      <c r="J4" s="865" t="s">
        <v>1108</v>
      </c>
      <c r="K4" s="865" t="s">
        <v>1173</v>
      </c>
      <c r="L4" s="865" t="s">
        <v>1881</v>
      </c>
      <c r="M4" s="865" t="s">
        <v>1878</v>
      </c>
      <c r="N4" s="865" t="s">
        <v>1879</v>
      </c>
      <c r="O4" s="865" t="s">
        <v>1880</v>
      </c>
      <c r="P4" s="865" t="s">
        <v>1836</v>
      </c>
      <c r="Q4" s="865" t="s">
        <v>1154</v>
      </c>
      <c r="R4" s="866" t="s">
        <v>1881</v>
      </c>
      <c r="S4" s="866" t="s">
        <v>1878</v>
      </c>
      <c r="T4" s="866" t="s">
        <v>1879</v>
      </c>
      <c r="U4" s="866" t="s">
        <v>1880</v>
      </c>
      <c r="V4" s="866" t="s">
        <v>1836</v>
      </c>
      <c r="W4" s="866" t="s">
        <v>1154</v>
      </c>
      <c r="X4" s="866" t="s">
        <v>1109</v>
      </c>
      <c r="Y4" s="866" t="s">
        <v>1215</v>
      </c>
      <c r="Z4" s="866" t="s">
        <v>1107</v>
      </c>
      <c r="AA4" s="866" t="s">
        <v>1108</v>
      </c>
      <c r="AB4" s="866" t="s">
        <v>1173</v>
      </c>
      <c r="AC4" s="866" t="s">
        <v>1107</v>
      </c>
      <c r="AD4" s="866" t="s">
        <v>1108</v>
      </c>
      <c r="AE4" s="866" t="s">
        <v>1173</v>
      </c>
    </row>
    <row r="5" spans="1:31" ht="15">
      <c r="A5" s="867" t="s">
        <v>1882</v>
      </c>
      <c r="B5" s="868">
        <v>104.7</v>
      </c>
      <c r="C5" s="868">
        <v>108.6</v>
      </c>
      <c r="D5" s="868">
        <v>114.1</v>
      </c>
      <c r="E5" s="868">
        <v>110.2</v>
      </c>
      <c r="F5" s="868">
        <v>109</v>
      </c>
      <c r="G5" s="868">
        <v>113.2</v>
      </c>
      <c r="H5" s="869">
        <v>117.3</v>
      </c>
      <c r="I5" s="869">
        <v>121.1</v>
      </c>
      <c r="J5" s="869">
        <v>119.2</v>
      </c>
      <c r="K5" s="870">
        <v>132</v>
      </c>
      <c r="L5" s="868">
        <v>152.1</v>
      </c>
      <c r="M5" s="868">
        <v>163.5</v>
      </c>
      <c r="N5" s="868">
        <v>171.3</v>
      </c>
      <c r="O5" s="868">
        <v>180.8</v>
      </c>
      <c r="P5" s="868">
        <v>176.4</v>
      </c>
      <c r="Q5" s="868">
        <v>177.8</v>
      </c>
      <c r="R5" s="869">
        <v>186</v>
      </c>
      <c r="S5" s="871">
        <v>205</v>
      </c>
      <c r="T5" s="871">
        <v>226</v>
      </c>
      <c r="U5" s="871">
        <v>242</v>
      </c>
      <c r="V5" s="871">
        <v>256</v>
      </c>
      <c r="W5" s="871">
        <v>271</v>
      </c>
      <c r="X5" s="871">
        <v>277</v>
      </c>
      <c r="Y5" s="871">
        <v>288</v>
      </c>
      <c r="Z5" s="871">
        <v>312</v>
      </c>
      <c r="AA5" s="1675">
        <v>329</v>
      </c>
      <c r="AB5" s="1675">
        <f t="shared" ref="AB5:AB10" si="0">AE5*2.88</f>
        <v>345.88799999999998</v>
      </c>
      <c r="AC5" s="1676">
        <f>Z5/2.88</f>
        <v>108.33333333333334</v>
      </c>
      <c r="AD5" s="1676">
        <f>AA5/2.88</f>
        <v>114.23611111111111</v>
      </c>
      <c r="AE5" s="1677">
        <v>120.1</v>
      </c>
    </row>
    <row r="6" spans="1:31" ht="15">
      <c r="A6" s="867" t="s">
        <v>1883</v>
      </c>
      <c r="B6" s="868">
        <v>105.3</v>
      </c>
      <c r="C6" s="868">
        <v>108.6</v>
      </c>
      <c r="D6" s="868">
        <v>114.8</v>
      </c>
      <c r="E6" s="868">
        <v>111.4</v>
      </c>
      <c r="F6" s="868">
        <v>110.4</v>
      </c>
      <c r="G6" s="868">
        <v>112.9</v>
      </c>
      <c r="H6" s="869">
        <v>118.3</v>
      </c>
      <c r="I6" s="869">
        <v>121.6</v>
      </c>
      <c r="J6" s="869">
        <v>117.5</v>
      </c>
      <c r="K6" s="870">
        <v>132.69999999999999</v>
      </c>
      <c r="L6" s="868">
        <v>152.4</v>
      </c>
      <c r="M6" s="868">
        <v>163.9</v>
      </c>
      <c r="N6" s="868">
        <v>171.4</v>
      </c>
      <c r="O6" s="868">
        <v>182</v>
      </c>
      <c r="P6" s="868">
        <v>178</v>
      </c>
      <c r="Q6" s="868">
        <v>180.2</v>
      </c>
      <c r="R6" s="869">
        <v>187</v>
      </c>
      <c r="S6" s="871">
        <v>206</v>
      </c>
      <c r="T6" s="871">
        <v>228</v>
      </c>
      <c r="U6" s="871">
        <v>244</v>
      </c>
      <c r="V6" s="871">
        <v>258</v>
      </c>
      <c r="W6" s="871">
        <v>275</v>
      </c>
      <c r="X6" s="871">
        <v>278</v>
      </c>
      <c r="Y6" s="871">
        <v>289</v>
      </c>
      <c r="Z6" s="871">
        <v>314</v>
      </c>
      <c r="AA6" s="1675">
        <v>330</v>
      </c>
      <c r="AB6" s="1675">
        <f t="shared" si="0"/>
        <v>347.32799999999997</v>
      </c>
      <c r="AC6" s="1676">
        <f t="shared" ref="AC6:AC16" si="1">Z6/2.88</f>
        <v>109.02777777777779</v>
      </c>
      <c r="AD6" s="1676">
        <f>AA6/2.88</f>
        <v>114.58333333333334</v>
      </c>
      <c r="AE6" s="1677">
        <v>120.6</v>
      </c>
    </row>
    <row r="7" spans="1:31" ht="15">
      <c r="A7" s="867" t="s">
        <v>1884</v>
      </c>
      <c r="B7" s="868">
        <v>105.3</v>
      </c>
      <c r="C7" s="868">
        <v>110.1</v>
      </c>
      <c r="D7" s="868">
        <v>115.2</v>
      </c>
      <c r="E7" s="868">
        <v>111.8</v>
      </c>
      <c r="F7" s="868">
        <v>111.7</v>
      </c>
      <c r="G7" s="868">
        <v>112.7</v>
      </c>
      <c r="H7" s="872">
        <v>119.1</v>
      </c>
      <c r="I7" s="872">
        <v>121.5</v>
      </c>
      <c r="J7" s="872">
        <v>119.3</v>
      </c>
      <c r="K7" s="870">
        <v>133.69999999999999</v>
      </c>
      <c r="L7" s="868">
        <v>153.1</v>
      </c>
      <c r="M7" s="868">
        <v>164.7</v>
      </c>
      <c r="N7" s="868">
        <v>173.2</v>
      </c>
      <c r="O7" s="868">
        <v>183</v>
      </c>
      <c r="P7" s="868">
        <v>179.1</v>
      </c>
      <c r="Q7" s="868">
        <v>182.9</v>
      </c>
      <c r="R7" s="872">
        <v>189</v>
      </c>
      <c r="S7" s="871">
        <v>208</v>
      </c>
      <c r="T7" s="871">
        <v>231</v>
      </c>
      <c r="U7" s="871">
        <v>246</v>
      </c>
      <c r="V7" s="871">
        <v>261</v>
      </c>
      <c r="W7" s="871">
        <v>277</v>
      </c>
      <c r="X7" s="871">
        <v>280</v>
      </c>
      <c r="Y7" s="871">
        <v>291</v>
      </c>
      <c r="Z7" s="871">
        <v>316</v>
      </c>
      <c r="AA7" s="1675">
        <v>332</v>
      </c>
      <c r="AB7" s="1675">
        <f t="shared" si="0"/>
        <v>350.49599999999998</v>
      </c>
      <c r="AC7" s="1676">
        <f t="shared" si="1"/>
        <v>109.72222222222223</v>
      </c>
      <c r="AD7" s="1676">
        <f>AA7/2.88</f>
        <v>115.27777777777779</v>
      </c>
      <c r="AE7" s="1677">
        <v>121.7</v>
      </c>
    </row>
    <row r="8" spans="1:31" ht="15">
      <c r="A8" s="867" t="s">
        <v>1885</v>
      </c>
      <c r="B8" s="868">
        <v>106.2</v>
      </c>
      <c r="C8" s="868">
        <v>111.2</v>
      </c>
      <c r="D8" s="868">
        <v>116.7</v>
      </c>
      <c r="E8" s="868">
        <v>111.1</v>
      </c>
      <c r="F8" s="868">
        <v>111.8</v>
      </c>
      <c r="G8" s="868">
        <v>113.9</v>
      </c>
      <c r="H8" s="872">
        <v>119.9</v>
      </c>
      <c r="I8" s="872">
        <v>121.3</v>
      </c>
      <c r="J8" s="873">
        <v>121</v>
      </c>
      <c r="K8" s="873">
        <v>135</v>
      </c>
      <c r="L8" s="868">
        <v>154.19999999999999</v>
      </c>
      <c r="M8" s="868">
        <v>165.8</v>
      </c>
      <c r="N8" s="868">
        <v>175.5</v>
      </c>
      <c r="O8" s="868">
        <v>185</v>
      </c>
      <c r="P8" s="868">
        <v>177.6</v>
      </c>
      <c r="Q8" s="868">
        <v>184.2</v>
      </c>
      <c r="R8" s="872">
        <v>193</v>
      </c>
      <c r="S8" s="871">
        <v>212</v>
      </c>
      <c r="T8" s="871">
        <v>235</v>
      </c>
      <c r="U8" s="871">
        <v>252</v>
      </c>
      <c r="V8" s="871">
        <v>263</v>
      </c>
      <c r="W8" s="871">
        <v>280</v>
      </c>
      <c r="X8" s="871">
        <v>285</v>
      </c>
      <c r="Y8" s="871">
        <v>301</v>
      </c>
      <c r="Z8" s="871">
        <v>319</v>
      </c>
      <c r="AA8" s="1675">
        <v>336</v>
      </c>
      <c r="AB8" s="1675">
        <f t="shared" si="0"/>
        <v>353.66399999999999</v>
      </c>
      <c r="AC8" s="1676">
        <f t="shared" si="1"/>
        <v>110.7638888888889</v>
      </c>
      <c r="AD8" s="1676">
        <f>AA8/2.88</f>
        <v>116.66666666666667</v>
      </c>
      <c r="AE8" s="1677">
        <v>122.8</v>
      </c>
    </row>
    <row r="9" spans="1:31" ht="15">
      <c r="A9" s="867" t="s">
        <v>1886</v>
      </c>
      <c r="B9" s="868">
        <v>106.9</v>
      </c>
      <c r="C9" s="868">
        <v>112.9</v>
      </c>
      <c r="D9" s="868">
        <v>117.2</v>
      </c>
      <c r="E9" s="868">
        <v>110</v>
      </c>
      <c r="F9" s="868">
        <v>111.2</v>
      </c>
      <c r="G9" s="868">
        <v>114.8</v>
      </c>
      <c r="H9" s="872">
        <v>120.1</v>
      </c>
      <c r="I9" s="872">
        <v>121.5</v>
      </c>
      <c r="J9" s="873">
        <v>122</v>
      </c>
      <c r="K9" s="873">
        <v>135.9</v>
      </c>
      <c r="L9" s="868">
        <v>154.9</v>
      </c>
      <c r="M9" s="868">
        <v>167.3</v>
      </c>
      <c r="N9" s="868">
        <v>179</v>
      </c>
      <c r="O9" s="868">
        <v>185.9</v>
      </c>
      <c r="P9" s="868">
        <v>176.5</v>
      </c>
      <c r="Q9" s="868">
        <v>183.3</v>
      </c>
      <c r="R9" s="872">
        <v>194</v>
      </c>
      <c r="S9" s="871">
        <v>214</v>
      </c>
      <c r="T9" s="871">
        <v>237</v>
      </c>
      <c r="U9" s="871">
        <v>253</v>
      </c>
      <c r="V9" s="871">
        <v>264</v>
      </c>
      <c r="W9" s="871">
        <v>278</v>
      </c>
      <c r="X9" s="871">
        <v>285</v>
      </c>
      <c r="Y9" s="871">
        <v>301</v>
      </c>
      <c r="Z9" s="871">
        <v>320</v>
      </c>
      <c r="AA9" s="1675">
        <v>338</v>
      </c>
      <c r="AB9" s="1675">
        <f t="shared" si="0"/>
        <v>354.24</v>
      </c>
      <c r="AC9" s="1676">
        <f t="shared" si="1"/>
        <v>111.11111111111111</v>
      </c>
      <c r="AD9" s="1676">
        <f>AA9/2.88</f>
        <v>117.36111111111111</v>
      </c>
      <c r="AE9" s="1677">
        <v>123</v>
      </c>
    </row>
    <row r="10" spans="1:31" ht="15">
      <c r="A10" s="867" t="s">
        <v>1887</v>
      </c>
      <c r="B10" s="868">
        <v>107.6</v>
      </c>
      <c r="C10" s="868">
        <v>114.3</v>
      </c>
      <c r="D10" s="868">
        <v>116.4</v>
      </c>
      <c r="E10" s="868">
        <v>109.9</v>
      </c>
      <c r="F10" s="868">
        <v>111.4</v>
      </c>
      <c r="G10" s="868">
        <v>114.9</v>
      </c>
      <c r="H10" s="874">
        <v>120.9</v>
      </c>
      <c r="I10" s="874">
        <v>121.3</v>
      </c>
      <c r="J10" s="873">
        <v>122.9</v>
      </c>
      <c r="K10" s="873">
        <v>136</v>
      </c>
      <c r="L10" s="868">
        <v>156.19999999999999</v>
      </c>
      <c r="M10" s="868">
        <v>168.8</v>
      </c>
      <c r="N10" s="868">
        <v>180.7</v>
      </c>
      <c r="O10" s="868">
        <v>185</v>
      </c>
      <c r="P10" s="868">
        <v>176.5</v>
      </c>
      <c r="Q10" s="868">
        <v>183.2</v>
      </c>
      <c r="R10" s="874">
        <v>197</v>
      </c>
      <c r="S10" s="871">
        <v>215</v>
      </c>
      <c r="T10" s="871">
        <v>238</v>
      </c>
      <c r="U10" s="871">
        <v>253</v>
      </c>
      <c r="V10" s="871">
        <v>266</v>
      </c>
      <c r="W10" s="871">
        <v>277</v>
      </c>
      <c r="X10" s="871">
        <v>285</v>
      </c>
      <c r="Y10" s="871">
        <v>301</v>
      </c>
      <c r="Z10" s="871">
        <v>322</v>
      </c>
      <c r="AA10" s="1675">
        <f>AD10*2.88</f>
        <v>340.12799999999999</v>
      </c>
      <c r="AB10" s="1675">
        <f t="shared" si="0"/>
        <v>355.10399999999998</v>
      </c>
      <c r="AC10" s="1676">
        <f t="shared" si="1"/>
        <v>111.80555555555556</v>
      </c>
      <c r="AD10" s="1678">
        <v>118.1</v>
      </c>
      <c r="AE10" s="1677">
        <v>123.3</v>
      </c>
    </row>
    <row r="11" spans="1:31" ht="15">
      <c r="A11" s="867" t="s">
        <v>1888</v>
      </c>
      <c r="B11" s="868">
        <v>107.4</v>
      </c>
      <c r="C11" s="868">
        <v>114.6</v>
      </c>
      <c r="D11" s="868">
        <v>115.6</v>
      </c>
      <c r="E11" s="868">
        <v>110.1</v>
      </c>
      <c r="F11" s="868">
        <v>111.5</v>
      </c>
      <c r="G11" s="869">
        <v>115.6</v>
      </c>
      <c r="H11" s="875">
        <v>122</v>
      </c>
      <c r="I11" s="875">
        <v>122</v>
      </c>
      <c r="J11" s="873">
        <v>123.6</v>
      </c>
      <c r="K11" s="873"/>
      <c r="L11" s="868">
        <v>157</v>
      </c>
      <c r="M11" s="868">
        <v>168.5</v>
      </c>
      <c r="N11" s="868">
        <v>180.7</v>
      </c>
      <c r="O11" s="868">
        <v>183.7</v>
      </c>
      <c r="P11" s="868">
        <v>176.9</v>
      </c>
      <c r="Q11" s="869">
        <v>183.6</v>
      </c>
      <c r="R11" s="875">
        <v>198</v>
      </c>
      <c r="S11" s="871">
        <v>217</v>
      </c>
      <c r="T11" s="871">
        <v>241</v>
      </c>
      <c r="U11" s="871">
        <v>253</v>
      </c>
      <c r="V11" s="871">
        <v>269</v>
      </c>
      <c r="W11" s="871">
        <v>278</v>
      </c>
      <c r="X11" s="871">
        <v>287</v>
      </c>
      <c r="Y11" s="871">
        <v>302</v>
      </c>
      <c r="Z11" s="871">
        <v>325</v>
      </c>
      <c r="AA11" s="1675">
        <f t="shared" ref="AA11:AA16" si="2">AD11*2.88</f>
        <v>344.15999999999997</v>
      </c>
      <c r="AB11" s="1675"/>
      <c r="AC11" s="1676">
        <f t="shared" si="1"/>
        <v>112.84722222222223</v>
      </c>
      <c r="AD11" s="1678">
        <v>119.5</v>
      </c>
      <c r="AE11" s="1677"/>
    </row>
    <row r="12" spans="1:31" ht="15">
      <c r="A12" s="867" t="s">
        <v>1889</v>
      </c>
      <c r="B12" s="868">
        <v>107.3</v>
      </c>
      <c r="C12" s="868">
        <v>114.3</v>
      </c>
      <c r="D12" s="868">
        <v>114.1</v>
      </c>
      <c r="E12" s="868">
        <v>109.9</v>
      </c>
      <c r="F12" s="868">
        <v>111.9</v>
      </c>
      <c r="G12" s="869">
        <v>116.4</v>
      </c>
      <c r="H12" s="875">
        <v>121.6</v>
      </c>
      <c r="I12" s="875">
        <v>122.3</v>
      </c>
      <c r="J12" s="873">
        <v>125.1</v>
      </c>
      <c r="K12" s="873"/>
      <c r="L12" s="868">
        <v>157.4</v>
      </c>
      <c r="M12" s="868">
        <v>168.8</v>
      </c>
      <c r="N12" s="868">
        <v>181.5</v>
      </c>
      <c r="O12" s="868">
        <v>181.2</v>
      </c>
      <c r="P12" s="868">
        <v>177.5</v>
      </c>
      <c r="Q12" s="869">
        <v>183.5</v>
      </c>
      <c r="R12" s="875">
        <v>199</v>
      </c>
      <c r="S12" s="871">
        <v>218</v>
      </c>
      <c r="T12" s="871">
        <v>243</v>
      </c>
      <c r="U12" s="871">
        <v>253</v>
      </c>
      <c r="V12" s="871">
        <v>270</v>
      </c>
      <c r="W12" s="871">
        <v>277</v>
      </c>
      <c r="X12" s="871">
        <v>288</v>
      </c>
      <c r="Y12" s="871">
        <v>302</v>
      </c>
      <c r="Z12" s="871">
        <v>328</v>
      </c>
      <c r="AA12" s="1675">
        <f t="shared" si="2"/>
        <v>345.31200000000001</v>
      </c>
      <c r="AB12" s="1675"/>
      <c r="AC12" s="1676">
        <f t="shared" si="1"/>
        <v>113.8888888888889</v>
      </c>
      <c r="AD12" s="1678">
        <v>119.9</v>
      </c>
      <c r="AE12" s="1677"/>
    </row>
    <row r="13" spans="1:31" ht="15">
      <c r="A13" s="867" t="s">
        <v>1890</v>
      </c>
      <c r="B13" s="868">
        <v>107.1</v>
      </c>
      <c r="C13" s="868">
        <v>113.4</v>
      </c>
      <c r="D13" s="868">
        <v>112.1</v>
      </c>
      <c r="E13" s="868">
        <v>109.4</v>
      </c>
      <c r="F13" s="868">
        <v>111.7</v>
      </c>
      <c r="G13" s="869">
        <v>115.7</v>
      </c>
      <c r="H13" s="875">
        <v>119.7</v>
      </c>
      <c r="I13" s="875">
        <v>123</v>
      </c>
      <c r="J13" s="873">
        <v>125.4</v>
      </c>
      <c r="K13" s="873"/>
      <c r="L13" s="868">
        <v>157.30000000000001</v>
      </c>
      <c r="M13" s="868">
        <v>168.8</v>
      </c>
      <c r="N13" s="868">
        <v>179.6</v>
      </c>
      <c r="O13" s="868">
        <v>178.7</v>
      </c>
      <c r="P13" s="868">
        <v>176.8</v>
      </c>
      <c r="Q13" s="869">
        <v>183.3</v>
      </c>
      <c r="R13" s="875">
        <v>197</v>
      </c>
      <c r="S13" s="871">
        <v>219</v>
      </c>
      <c r="T13" s="871">
        <v>239</v>
      </c>
      <c r="U13" s="871">
        <v>253</v>
      </c>
      <c r="V13" s="871">
        <v>269</v>
      </c>
      <c r="W13" s="871">
        <v>275</v>
      </c>
      <c r="X13" s="871">
        <v>286</v>
      </c>
      <c r="Y13" s="871">
        <v>301</v>
      </c>
      <c r="Z13" s="871">
        <v>330</v>
      </c>
      <c r="AA13" s="1675">
        <f t="shared" si="2"/>
        <v>342.14400000000001</v>
      </c>
      <c r="AB13" s="1675"/>
      <c r="AC13" s="1676">
        <f t="shared" si="1"/>
        <v>114.58333333333334</v>
      </c>
      <c r="AD13" s="1678">
        <v>118.8</v>
      </c>
      <c r="AE13" s="1677"/>
    </row>
    <row r="14" spans="1:31" ht="15">
      <c r="A14" s="867" t="s">
        <v>1891</v>
      </c>
      <c r="B14" s="868">
        <v>108</v>
      </c>
      <c r="C14" s="868">
        <v>113.6</v>
      </c>
      <c r="D14" s="868">
        <v>110.8</v>
      </c>
      <c r="E14" s="868">
        <v>108</v>
      </c>
      <c r="F14" s="868">
        <v>112.6</v>
      </c>
      <c r="G14" s="869">
        <v>116</v>
      </c>
      <c r="H14" s="875">
        <v>119.2</v>
      </c>
      <c r="I14" s="875">
        <v>123.4</v>
      </c>
      <c r="J14" s="873">
        <v>126.5</v>
      </c>
      <c r="K14" s="873"/>
      <c r="L14" s="868">
        <v>158.69999999999999</v>
      </c>
      <c r="M14" s="868">
        <v>170.3</v>
      </c>
      <c r="N14" s="868">
        <v>179</v>
      </c>
      <c r="O14" s="868">
        <v>177.3</v>
      </c>
      <c r="P14" s="868">
        <v>175.4</v>
      </c>
      <c r="Q14" s="869">
        <v>185.1</v>
      </c>
      <c r="R14" s="875">
        <v>198</v>
      </c>
      <c r="S14" s="871">
        <v>221</v>
      </c>
      <c r="T14" s="871">
        <v>237</v>
      </c>
      <c r="U14" s="871">
        <v>254</v>
      </c>
      <c r="V14" s="871">
        <v>269</v>
      </c>
      <c r="W14" s="871">
        <v>274</v>
      </c>
      <c r="X14" s="871">
        <v>288</v>
      </c>
      <c r="Y14" s="871">
        <v>307</v>
      </c>
      <c r="Z14" s="871">
        <v>330</v>
      </c>
      <c r="AA14" s="1675">
        <f t="shared" si="2"/>
        <v>340.416</v>
      </c>
      <c r="AB14" s="1675"/>
      <c r="AC14" s="1676">
        <f t="shared" si="1"/>
        <v>114.58333333333334</v>
      </c>
      <c r="AD14" s="1676">
        <v>118.2</v>
      </c>
      <c r="AE14" s="1677"/>
    </row>
    <row r="15" spans="1:31" ht="15">
      <c r="A15" s="867" t="s">
        <v>1892</v>
      </c>
      <c r="B15" s="868">
        <v>108.4</v>
      </c>
      <c r="C15" s="868">
        <v>113.6</v>
      </c>
      <c r="D15" s="868">
        <v>109.6</v>
      </c>
      <c r="E15" s="868">
        <v>107.1</v>
      </c>
      <c r="F15" s="868">
        <v>113</v>
      </c>
      <c r="G15" s="869">
        <v>116.1</v>
      </c>
      <c r="H15" s="875">
        <v>119.5</v>
      </c>
      <c r="I15" s="875">
        <v>122.2</v>
      </c>
      <c r="J15" s="873">
        <v>128.1</v>
      </c>
      <c r="K15" s="873"/>
      <c r="L15" s="868">
        <v>159.30000000000001</v>
      </c>
      <c r="M15" s="868">
        <v>170.9</v>
      </c>
      <c r="N15" s="868">
        <v>179.5</v>
      </c>
      <c r="O15" s="868">
        <v>175.6</v>
      </c>
      <c r="P15" s="868">
        <v>174.1</v>
      </c>
      <c r="Q15" s="869">
        <v>185.5</v>
      </c>
      <c r="R15" s="875">
        <v>199</v>
      </c>
      <c r="S15" s="871">
        <v>223</v>
      </c>
      <c r="T15" s="871">
        <v>238</v>
      </c>
      <c r="U15" s="871">
        <v>253</v>
      </c>
      <c r="V15" s="871">
        <v>267</v>
      </c>
      <c r="W15" s="871">
        <v>274</v>
      </c>
      <c r="X15" s="871">
        <v>287</v>
      </c>
      <c r="Y15" s="871">
        <v>307</v>
      </c>
      <c r="Z15" s="871">
        <v>328</v>
      </c>
      <c r="AA15" s="1675">
        <f t="shared" si="2"/>
        <v>342.71999999999997</v>
      </c>
      <c r="AB15" s="1675"/>
      <c r="AC15" s="1676">
        <f t="shared" si="1"/>
        <v>113.8888888888889</v>
      </c>
      <c r="AD15" s="1676">
        <v>119</v>
      </c>
      <c r="AE15" s="1677"/>
    </row>
    <row r="16" spans="1:31" ht="15">
      <c r="A16" s="867" t="s">
        <v>1893</v>
      </c>
      <c r="B16" s="868">
        <v>108.6</v>
      </c>
      <c r="C16" s="868">
        <v>114.3</v>
      </c>
      <c r="D16" s="868">
        <v>109.9</v>
      </c>
      <c r="E16" s="868">
        <v>107.7</v>
      </c>
      <c r="F16" s="876">
        <v>113.2</v>
      </c>
      <c r="G16" s="869">
        <v>116.3</v>
      </c>
      <c r="H16" s="875">
        <v>119.9</v>
      </c>
      <c r="I16" s="875">
        <v>120.4</v>
      </c>
      <c r="J16" s="873">
        <v>129.9</v>
      </c>
      <c r="K16" s="873"/>
      <c r="L16" s="868">
        <v>161</v>
      </c>
      <c r="M16" s="868">
        <v>170.1</v>
      </c>
      <c r="N16" s="868">
        <v>180.3</v>
      </c>
      <c r="O16" s="868">
        <v>176.1</v>
      </c>
      <c r="P16" s="876">
        <v>175.3</v>
      </c>
      <c r="Q16" s="869">
        <v>185.8</v>
      </c>
      <c r="R16" s="875">
        <v>201</v>
      </c>
      <c r="S16" s="871">
        <v>224</v>
      </c>
      <c r="T16" s="871">
        <v>239</v>
      </c>
      <c r="U16" s="871">
        <v>254</v>
      </c>
      <c r="V16" s="871">
        <v>268</v>
      </c>
      <c r="W16" s="871">
        <v>275</v>
      </c>
      <c r="X16" s="871">
        <v>287</v>
      </c>
      <c r="Y16" s="871">
        <v>309</v>
      </c>
      <c r="Z16" s="871">
        <v>326</v>
      </c>
      <c r="AA16" s="1675">
        <f t="shared" si="2"/>
        <v>344.44799999999998</v>
      </c>
      <c r="AB16" s="1675"/>
      <c r="AC16" s="1676">
        <f t="shared" si="1"/>
        <v>113.19444444444444</v>
      </c>
      <c r="AD16" s="1676">
        <v>119.6</v>
      </c>
      <c r="AE16" s="1677"/>
    </row>
    <row r="17" spans="1:31" s="880" customFormat="1">
      <c r="A17" s="877" t="s">
        <v>1894</v>
      </c>
      <c r="B17" s="878">
        <f t="shared" ref="B17:AE17" si="3">AVERAGE(B5:B16)</f>
        <v>106.89999999999999</v>
      </c>
      <c r="C17" s="878">
        <f t="shared" si="3"/>
        <v>112.45833333333331</v>
      </c>
      <c r="D17" s="878">
        <f t="shared" si="3"/>
        <v>113.875</v>
      </c>
      <c r="E17" s="878">
        <f t="shared" si="3"/>
        <v>109.71666666666665</v>
      </c>
      <c r="F17" s="878">
        <f t="shared" si="3"/>
        <v>111.61666666666667</v>
      </c>
      <c r="G17" s="878">
        <f t="shared" si="3"/>
        <v>114.87499999999999</v>
      </c>
      <c r="H17" s="878">
        <f>AVERAGE(H5:H16)</f>
        <v>119.79166666666669</v>
      </c>
      <c r="I17" s="878">
        <f>AVERAGE(I5:I16)</f>
        <v>121.80000000000001</v>
      </c>
      <c r="J17" s="878">
        <f>AVERAGE(J5:J16)</f>
        <v>123.375</v>
      </c>
      <c r="K17" s="878">
        <f>AVERAGE(K5:K16)</f>
        <v>134.21666666666667</v>
      </c>
      <c r="L17" s="878">
        <f t="shared" ref="L17:Q17" si="4">AVERAGE(L5:L16)</f>
        <v>156.13333333333333</v>
      </c>
      <c r="M17" s="878">
        <f t="shared" si="4"/>
        <v>167.61666666666665</v>
      </c>
      <c r="N17" s="878">
        <f t="shared" si="4"/>
        <v>177.64166666666668</v>
      </c>
      <c r="O17" s="878">
        <f t="shared" si="4"/>
        <v>181.19166666666663</v>
      </c>
      <c r="P17" s="878">
        <f t="shared" si="4"/>
        <v>176.67499999999998</v>
      </c>
      <c r="Q17" s="878">
        <f t="shared" si="4"/>
        <v>183.19999999999996</v>
      </c>
      <c r="R17" s="879">
        <f t="shared" si="3"/>
        <v>194.83333333333334</v>
      </c>
      <c r="S17" s="879">
        <f t="shared" si="3"/>
        <v>215.16666666666666</v>
      </c>
      <c r="T17" s="879">
        <f t="shared" si="3"/>
        <v>236</v>
      </c>
      <c r="U17" s="879">
        <f t="shared" si="3"/>
        <v>250.83333333333334</v>
      </c>
      <c r="V17" s="879">
        <f t="shared" si="3"/>
        <v>265</v>
      </c>
      <c r="W17" s="879">
        <f t="shared" si="3"/>
        <v>275.91666666666669</v>
      </c>
      <c r="X17" s="879">
        <f t="shared" si="3"/>
        <v>284.41666666666669</v>
      </c>
      <c r="Y17" s="879">
        <f t="shared" si="3"/>
        <v>299.91666666666669</v>
      </c>
      <c r="Z17" s="879">
        <f t="shared" si="3"/>
        <v>322.5</v>
      </c>
      <c r="AA17" s="1679">
        <f t="shared" si="3"/>
        <v>338.69399999999996</v>
      </c>
      <c r="AB17" s="1679">
        <f t="shared" si="3"/>
        <v>351.11999999999995</v>
      </c>
      <c r="AC17" s="1680">
        <f t="shared" si="3"/>
        <v>111.97916666666667</v>
      </c>
      <c r="AD17" s="1681">
        <f t="shared" si="3"/>
        <v>117.60208333333333</v>
      </c>
      <c r="AE17" s="1681">
        <f t="shared" si="3"/>
        <v>121.91666666666667</v>
      </c>
    </row>
    <row r="18" spans="1:31">
      <c r="G18" s="881"/>
      <c r="H18" s="881"/>
      <c r="I18" s="881"/>
      <c r="J18" s="881"/>
      <c r="K18" s="881"/>
    </row>
    <row r="19" spans="1:31">
      <c r="A19" s="882"/>
      <c r="B19" s="882"/>
      <c r="C19" s="882"/>
      <c r="D19" s="882"/>
      <c r="E19" s="882"/>
      <c r="F19" s="882"/>
      <c r="G19" s="882"/>
      <c r="H19" s="883"/>
      <c r="I19" s="883"/>
      <c r="J19" s="883"/>
      <c r="K19" s="883"/>
      <c r="L19" s="882"/>
      <c r="M19" s="882"/>
    </row>
    <row r="20" spans="1:31">
      <c r="A20" s="884"/>
      <c r="B20" s="884" t="s">
        <v>1878</v>
      </c>
      <c r="C20" s="884" t="s">
        <v>1879</v>
      </c>
      <c r="D20" s="884" t="s">
        <v>1880</v>
      </c>
      <c r="E20" s="884" t="s">
        <v>1836</v>
      </c>
      <c r="F20" s="884" t="s">
        <v>1154</v>
      </c>
      <c r="G20" s="884" t="s">
        <v>1109</v>
      </c>
      <c r="H20" s="884" t="s">
        <v>1215</v>
      </c>
      <c r="I20" s="884" t="s">
        <v>1107</v>
      </c>
      <c r="J20" s="884" t="s">
        <v>1108</v>
      </c>
      <c r="K20" s="884" t="s">
        <v>1173</v>
      </c>
      <c r="L20" s="884" t="s">
        <v>1895</v>
      </c>
      <c r="M20" s="882"/>
      <c r="S20" s="885"/>
    </row>
    <row r="21" spans="1:31" ht="15">
      <c r="A21" s="882" t="s">
        <v>1896</v>
      </c>
      <c r="B21" s="886">
        <f t="shared" ref="B21:K21" si="5">+S17/R17-1</f>
        <v>0.10436270316509821</v>
      </c>
      <c r="C21" s="886">
        <f t="shared" si="5"/>
        <v>9.6824167312161258E-2</v>
      </c>
      <c r="D21" s="886">
        <f t="shared" si="5"/>
        <v>6.2853107344632786E-2</v>
      </c>
      <c r="E21" s="886">
        <f t="shared" si="5"/>
        <v>5.6478405315614655E-2</v>
      </c>
      <c r="F21" s="886">
        <f t="shared" si="5"/>
        <v>4.1194968553459166E-2</v>
      </c>
      <c r="G21" s="886">
        <f t="shared" si="5"/>
        <v>3.0806402899426155E-2</v>
      </c>
      <c r="H21" s="886">
        <f t="shared" si="5"/>
        <v>5.4497509522414278E-2</v>
      </c>
      <c r="I21" s="886">
        <f t="shared" si="5"/>
        <v>7.5298694081689321E-2</v>
      </c>
      <c r="J21" s="886">
        <f t="shared" si="5"/>
        <v>5.0213953488371876E-2</v>
      </c>
      <c r="K21" s="886">
        <f t="shared" si="5"/>
        <v>3.6687983843823657E-2</v>
      </c>
      <c r="L21" s="887">
        <f>+AVERAGE(AB5:AB10)/AVERAGE(AA5:AA10)-1</f>
        <v>5.0666092139753482E-2</v>
      </c>
      <c r="M21" s="882"/>
      <c r="N21" s="888"/>
      <c r="O21" s="888"/>
      <c r="P21" s="888"/>
      <c r="Q21" s="888"/>
      <c r="R21" s="888"/>
      <c r="S21" s="888"/>
      <c r="T21" s="888"/>
      <c r="U21" s="888"/>
      <c r="V21" s="888"/>
      <c r="AD21" s="889"/>
    </row>
    <row r="22" spans="1:31" ht="15">
      <c r="A22" s="882" t="s">
        <v>1897</v>
      </c>
      <c r="B22" s="882"/>
      <c r="C22" s="886"/>
      <c r="D22" s="886"/>
      <c r="E22" s="886"/>
      <c r="F22" s="886"/>
      <c r="G22" s="886"/>
      <c r="H22" s="886"/>
      <c r="I22" s="886"/>
      <c r="J22" s="886">
        <f>AD17/AC17-1</f>
        <v>5.0213953488371876E-2</v>
      </c>
      <c r="K22" s="886">
        <f>AE17/AD17-1</f>
        <v>3.6687983843823657E-2</v>
      </c>
      <c r="L22" s="887">
        <f>AVERAGE(AE5:AE10)/AVERAGE(AD5:AD10)-1</f>
        <v>5.0666092139753705E-2</v>
      </c>
      <c r="M22" s="882"/>
      <c r="N22" s="890"/>
      <c r="O22" s="890"/>
      <c r="P22" s="890"/>
      <c r="W22" s="891"/>
    </row>
    <row r="23" spans="1:31">
      <c r="A23" s="882" t="s">
        <v>1898</v>
      </c>
      <c r="B23" s="886">
        <f>+M17/L17-1</f>
        <v>7.3548249359521645E-2</v>
      </c>
      <c r="C23" s="886">
        <f>+N17/M17-1</f>
        <v>5.9809088197275706E-2</v>
      </c>
      <c r="D23" s="886">
        <f>+O17/N17-1</f>
        <v>1.9984050288501809E-2</v>
      </c>
      <c r="E23" s="886">
        <f>+P17/O17-1</f>
        <v>-2.4927562893804822E-2</v>
      </c>
      <c r="F23" s="886">
        <f>+Q17/P17-1</f>
        <v>3.693222017829334E-2</v>
      </c>
      <c r="G23" s="882"/>
      <c r="H23" s="882"/>
      <c r="I23" s="882"/>
      <c r="L23" s="882"/>
      <c r="M23" s="882"/>
      <c r="W23" s="891"/>
    </row>
    <row r="24" spans="1:31">
      <c r="A24" s="882" t="s">
        <v>1899</v>
      </c>
      <c r="B24" s="882"/>
      <c r="C24" s="886">
        <f>+C17/B17-1</f>
        <v>5.199563454942302E-2</v>
      </c>
      <c r="D24" s="886">
        <f>+D17/C17-1</f>
        <v>1.2597258243794096E-2</v>
      </c>
      <c r="E24" s="886">
        <f>+E17/D17-1</f>
        <v>-3.6516648371752725E-2</v>
      </c>
      <c r="F24" s="886">
        <f t="shared" ref="F24:K24" si="6">+F17/E17-1</f>
        <v>1.7317332523165918E-2</v>
      </c>
      <c r="G24" s="886">
        <f t="shared" si="6"/>
        <v>2.9192175601015169E-2</v>
      </c>
      <c r="H24" s="886">
        <f t="shared" si="6"/>
        <v>4.2800145085237773E-2</v>
      </c>
      <c r="I24" s="886">
        <f t="shared" si="6"/>
        <v>1.676521739130421E-2</v>
      </c>
      <c r="J24" s="886">
        <f t="shared" si="6"/>
        <v>1.2931034482758452E-2</v>
      </c>
      <c r="K24" s="886">
        <f t="shared" si="6"/>
        <v>8.7875717662951658E-2</v>
      </c>
      <c r="L24" s="887">
        <f>+AVERAGE(K5:K10)/AVERAGE(J5:J10)-1</f>
        <v>0.1155284665466132</v>
      </c>
      <c r="M24" s="882"/>
      <c r="W24" s="891"/>
    </row>
    <row r="25" spans="1:31">
      <c r="A25" s="882"/>
      <c r="B25" s="882"/>
      <c r="C25" s="882"/>
      <c r="D25" s="882"/>
      <c r="E25" s="882"/>
      <c r="F25" s="882"/>
      <c r="G25" s="882"/>
      <c r="H25" s="882"/>
      <c r="I25" s="882"/>
      <c r="L25" s="882"/>
      <c r="M25" s="882"/>
      <c r="W25" s="891"/>
    </row>
    <row r="26" spans="1:31">
      <c r="A26" s="882" t="s">
        <v>1900</v>
      </c>
      <c r="B26" s="892">
        <f>+B21</f>
        <v>0.10436270316509821</v>
      </c>
      <c r="C26" s="892">
        <f t="shared" ref="C26:I26" si="7">+C21</f>
        <v>9.6824167312161258E-2</v>
      </c>
      <c r="D26" s="892">
        <f t="shared" si="7"/>
        <v>6.2853107344632786E-2</v>
      </c>
      <c r="E26" s="892">
        <f t="shared" si="7"/>
        <v>5.6478405315614655E-2</v>
      </c>
      <c r="F26" s="892">
        <f t="shared" si="7"/>
        <v>4.1194968553459166E-2</v>
      </c>
      <c r="G26" s="892">
        <f t="shared" si="7"/>
        <v>3.0806402899426155E-2</v>
      </c>
      <c r="H26" s="892">
        <f t="shared" si="7"/>
        <v>5.4497509522414278E-2</v>
      </c>
      <c r="I26" s="892">
        <f t="shared" si="7"/>
        <v>7.5298694081689321E-2</v>
      </c>
      <c r="J26" s="892">
        <f>+J22</f>
        <v>5.0213953488371876E-2</v>
      </c>
      <c r="K26" s="892">
        <f>K22</f>
        <v>3.6687983843823657E-2</v>
      </c>
      <c r="L26" s="892">
        <f>+L21</f>
        <v>5.0666092139753482E-2</v>
      </c>
      <c r="M26" s="882"/>
      <c r="S26" s="893"/>
    </row>
    <row r="27" spans="1:31">
      <c r="A27" s="1671" t="s">
        <v>1901</v>
      </c>
      <c r="B27" s="1672">
        <f>+B23</f>
        <v>7.3548249359521645E-2</v>
      </c>
      <c r="C27" s="1672">
        <f>+C24</f>
        <v>5.199563454942302E-2</v>
      </c>
      <c r="D27" s="1672">
        <f t="shared" ref="D27:J27" si="8">+D24</f>
        <v>1.2597258243794096E-2</v>
      </c>
      <c r="E27" s="1672">
        <f t="shared" si="8"/>
        <v>-3.6516648371752725E-2</v>
      </c>
      <c r="F27" s="1672">
        <f t="shared" si="8"/>
        <v>1.7317332523165918E-2</v>
      </c>
      <c r="G27" s="1672">
        <f>+G24</f>
        <v>2.9192175601015169E-2</v>
      </c>
      <c r="H27" s="1672">
        <f>+H24</f>
        <v>4.2800145085237773E-2</v>
      </c>
      <c r="I27" s="1672">
        <f t="shared" si="8"/>
        <v>1.676521739130421E-2</v>
      </c>
      <c r="J27" s="1672">
        <f t="shared" si="8"/>
        <v>1.2931034482758452E-2</v>
      </c>
      <c r="K27" s="1672">
        <f>K24</f>
        <v>8.7875717662951658E-2</v>
      </c>
      <c r="L27" s="1672">
        <f>+L24</f>
        <v>0.1155284665466132</v>
      </c>
      <c r="M27" s="882"/>
      <c r="S27" s="893"/>
    </row>
    <row r="28" spans="1:31">
      <c r="A28" s="1673" t="s">
        <v>1902</v>
      </c>
      <c r="B28" s="1674">
        <f>+(B26*0.5)+(B27*0.5)</f>
        <v>8.8955476262309929E-2</v>
      </c>
      <c r="C28" s="1674">
        <f>+(C26*0.5)+(C27*0.5)</f>
        <v>7.4409900930792139E-2</v>
      </c>
      <c r="D28" s="1674">
        <f>+(D26*0.5)+(D27*0.5)</f>
        <v>3.7725182794213441E-2</v>
      </c>
      <c r="E28" s="1674">
        <f>+(E26*0.5)+(E27*0.5)</f>
        <v>9.9808784719309651E-3</v>
      </c>
      <c r="F28" s="1674">
        <f>+(F26*0.5)+(F27*0.5)</f>
        <v>2.9256150538312542E-2</v>
      </c>
      <c r="G28" s="1674">
        <f t="shared" ref="G28:L28" si="9">+(G26*0.5)+(G27*0.5)</f>
        <v>2.9999289250220662E-2</v>
      </c>
      <c r="H28" s="1674">
        <f t="shared" si="9"/>
        <v>4.8648827303826025E-2</v>
      </c>
      <c r="I28" s="1674">
        <f t="shared" si="9"/>
        <v>4.6031955736496766E-2</v>
      </c>
      <c r="J28" s="1674">
        <f t="shared" si="9"/>
        <v>3.1572493985565164E-2</v>
      </c>
      <c r="K28" s="1674">
        <f t="shared" si="9"/>
        <v>6.2281850753387658E-2</v>
      </c>
      <c r="L28" s="1674">
        <f t="shared" si="9"/>
        <v>8.3097279343183339E-2</v>
      </c>
      <c r="M28" s="882"/>
      <c r="S28" s="893"/>
      <c r="W28" s="889"/>
    </row>
    <row r="29" spans="1:31">
      <c r="A29" s="884"/>
      <c r="B29" s="882"/>
      <c r="C29" s="894"/>
      <c r="D29" s="894"/>
      <c r="E29" s="894"/>
      <c r="F29" s="894"/>
      <c r="G29" s="894"/>
      <c r="H29" s="894"/>
      <c r="I29" s="894"/>
      <c r="J29" s="894"/>
      <c r="K29" s="894"/>
      <c r="L29" s="882"/>
      <c r="M29" s="882"/>
      <c r="S29" s="893"/>
    </row>
    <row r="30" spans="1:31">
      <c r="A30" s="882"/>
      <c r="B30" s="882"/>
      <c r="C30" s="882"/>
      <c r="D30" s="882"/>
      <c r="E30" s="882"/>
      <c r="F30" s="882"/>
      <c r="G30" s="882"/>
      <c r="H30" s="882"/>
      <c r="I30" s="882"/>
      <c r="J30" s="882"/>
      <c r="K30" s="882"/>
      <c r="L30" s="882"/>
      <c r="M30" s="882"/>
      <c r="S30" s="893"/>
    </row>
    <row r="32" spans="1:31" ht="15.75">
      <c r="H32" s="889"/>
      <c r="I32" s="889"/>
      <c r="J32" s="889"/>
      <c r="K32" s="889"/>
      <c r="L32" s="895"/>
      <c r="M32" s="895"/>
      <c r="N32" s="896"/>
    </row>
    <row r="33" spans="8:14" ht="15.75">
      <c r="H33" s="897"/>
      <c r="L33" s="895"/>
      <c r="M33" s="895"/>
      <c r="N33" s="896"/>
    </row>
    <row r="34" spans="8:14">
      <c r="N34" s="896"/>
    </row>
  </sheetData>
  <mergeCells count="5">
    <mergeCell ref="A3:A4"/>
    <mergeCell ref="B3:K3"/>
    <mergeCell ref="L3:Q3"/>
    <mergeCell ref="R3:AB3"/>
    <mergeCell ref="AC3:AE3"/>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J95"/>
  <sheetViews>
    <sheetView topLeftCell="A51" workbookViewId="0">
      <selection activeCell="C62" sqref="C62:E95"/>
    </sheetView>
  </sheetViews>
  <sheetFormatPr defaultRowHeight="15"/>
  <cols>
    <col min="1" max="1" width="58.140625" bestFit="1" customWidth="1"/>
    <col min="2" max="2" width="15.85546875" bestFit="1" customWidth="1"/>
    <col min="3" max="3" width="14.42578125" customWidth="1"/>
    <col min="4" max="4" width="14.85546875" bestFit="1" customWidth="1"/>
    <col min="5" max="5" width="15.85546875" bestFit="1" customWidth="1"/>
    <col min="6" max="6" width="11.5703125" bestFit="1" customWidth="1"/>
    <col min="7" max="7" width="19" style="904" hidden="1" customWidth="1"/>
    <col min="10" max="10" width="10.5703125" bestFit="1" customWidth="1"/>
    <col min="257" max="257" width="58.140625" bestFit="1" customWidth="1"/>
    <col min="258" max="258" width="15.85546875" bestFit="1" customWidth="1"/>
    <col min="259" max="259" width="14.42578125" customWidth="1"/>
    <col min="260" max="260" width="14.85546875" bestFit="1" customWidth="1"/>
    <col min="261" max="261" width="15.85546875" bestFit="1" customWidth="1"/>
    <col min="262" max="262" width="11.5703125" bestFit="1" customWidth="1"/>
    <col min="263" max="263" width="0" hidden="1" customWidth="1"/>
    <col min="513" max="513" width="58.140625" bestFit="1" customWidth="1"/>
    <col min="514" max="514" width="15.85546875" bestFit="1" customWidth="1"/>
    <col min="515" max="515" width="14.42578125" customWidth="1"/>
    <col min="516" max="516" width="14.85546875" bestFit="1" customWidth="1"/>
    <col min="517" max="517" width="15.85546875" bestFit="1" customWidth="1"/>
    <col min="518" max="518" width="11.5703125" bestFit="1" customWidth="1"/>
    <col min="519" max="519" width="0" hidden="1" customWidth="1"/>
    <col min="769" max="769" width="58.140625" bestFit="1" customWidth="1"/>
    <col min="770" max="770" width="15.85546875" bestFit="1" customWidth="1"/>
    <col min="771" max="771" width="14.42578125" customWidth="1"/>
    <col min="772" max="772" width="14.85546875" bestFit="1" customWidth="1"/>
    <col min="773" max="773" width="15.85546875" bestFit="1" customWidth="1"/>
    <col min="774" max="774" width="11.5703125" bestFit="1" customWidth="1"/>
    <col min="775" max="775" width="0" hidden="1" customWidth="1"/>
    <col min="1025" max="1025" width="58.140625" bestFit="1" customWidth="1"/>
    <col min="1026" max="1026" width="15.85546875" bestFit="1" customWidth="1"/>
    <col min="1027" max="1027" width="14.42578125" customWidth="1"/>
    <col min="1028" max="1028" width="14.85546875" bestFit="1" customWidth="1"/>
    <col min="1029" max="1029" width="15.85546875" bestFit="1" customWidth="1"/>
    <col min="1030" max="1030" width="11.5703125" bestFit="1" customWidth="1"/>
    <col min="1031" max="1031" width="0" hidden="1" customWidth="1"/>
    <col min="1281" max="1281" width="58.140625" bestFit="1" customWidth="1"/>
    <col min="1282" max="1282" width="15.85546875" bestFit="1" customWidth="1"/>
    <col min="1283" max="1283" width="14.42578125" customWidth="1"/>
    <col min="1284" max="1284" width="14.85546875" bestFit="1" customWidth="1"/>
    <col min="1285" max="1285" width="15.85546875" bestFit="1" customWidth="1"/>
    <col min="1286" max="1286" width="11.5703125" bestFit="1" customWidth="1"/>
    <col min="1287" max="1287" width="0" hidden="1" customWidth="1"/>
    <col min="1537" max="1537" width="58.140625" bestFit="1" customWidth="1"/>
    <col min="1538" max="1538" width="15.85546875" bestFit="1" customWidth="1"/>
    <col min="1539" max="1539" width="14.42578125" customWidth="1"/>
    <col min="1540" max="1540" width="14.85546875" bestFit="1" customWidth="1"/>
    <col min="1541" max="1541" width="15.85546875" bestFit="1" customWidth="1"/>
    <col min="1542" max="1542" width="11.5703125" bestFit="1" customWidth="1"/>
    <col min="1543" max="1543" width="0" hidden="1" customWidth="1"/>
    <col min="1793" max="1793" width="58.140625" bestFit="1" customWidth="1"/>
    <col min="1794" max="1794" width="15.85546875" bestFit="1" customWidth="1"/>
    <col min="1795" max="1795" width="14.42578125" customWidth="1"/>
    <col min="1796" max="1796" width="14.85546875" bestFit="1" customWidth="1"/>
    <col min="1797" max="1797" width="15.85546875" bestFit="1" customWidth="1"/>
    <col min="1798" max="1798" width="11.5703125" bestFit="1" customWidth="1"/>
    <col min="1799" max="1799" width="0" hidden="1" customWidth="1"/>
    <col min="2049" max="2049" width="58.140625" bestFit="1" customWidth="1"/>
    <col min="2050" max="2050" width="15.85546875" bestFit="1" customWidth="1"/>
    <col min="2051" max="2051" width="14.42578125" customWidth="1"/>
    <col min="2052" max="2052" width="14.85546875" bestFit="1" customWidth="1"/>
    <col min="2053" max="2053" width="15.85546875" bestFit="1" customWidth="1"/>
    <col min="2054" max="2054" width="11.5703125" bestFit="1" customWidth="1"/>
    <col min="2055" max="2055" width="0" hidden="1" customWidth="1"/>
    <col min="2305" max="2305" width="58.140625" bestFit="1" customWidth="1"/>
    <col min="2306" max="2306" width="15.85546875" bestFit="1" customWidth="1"/>
    <col min="2307" max="2307" width="14.42578125" customWidth="1"/>
    <col min="2308" max="2308" width="14.85546875" bestFit="1" customWidth="1"/>
    <col min="2309" max="2309" width="15.85546875" bestFit="1" customWidth="1"/>
    <col min="2310" max="2310" width="11.5703125" bestFit="1" customWidth="1"/>
    <col min="2311" max="2311" width="0" hidden="1" customWidth="1"/>
    <col min="2561" max="2561" width="58.140625" bestFit="1" customWidth="1"/>
    <col min="2562" max="2562" width="15.85546875" bestFit="1" customWidth="1"/>
    <col min="2563" max="2563" width="14.42578125" customWidth="1"/>
    <col min="2564" max="2564" width="14.85546875" bestFit="1" customWidth="1"/>
    <col min="2565" max="2565" width="15.85546875" bestFit="1" customWidth="1"/>
    <col min="2566" max="2566" width="11.5703125" bestFit="1" customWidth="1"/>
    <col min="2567" max="2567" width="0" hidden="1" customWidth="1"/>
    <col min="2817" max="2817" width="58.140625" bestFit="1" customWidth="1"/>
    <col min="2818" max="2818" width="15.85546875" bestFit="1" customWidth="1"/>
    <col min="2819" max="2819" width="14.42578125" customWidth="1"/>
    <col min="2820" max="2820" width="14.85546875" bestFit="1" customWidth="1"/>
    <col min="2821" max="2821" width="15.85546875" bestFit="1" customWidth="1"/>
    <col min="2822" max="2822" width="11.5703125" bestFit="1" customWidth="1"/>
    <col min="2823" max="2823" width="0" hidden="1" customWidth="1"/>
    <col min="3073" max="3073" width="58.140625" bestFit="1" customWidth="1"/>
    <col min="3074" max="3074" width="15.85546875" bestFit="1" customWidth="1"/>
    <col min="3075" max="3075" width="14.42578125" customWidth="1"/>
    <col min="3076" max="3076" width="14.85546875" bestFit="1" customWidth="1"/>
    <col min="3077" max="3077" width="15.85546875" bestFit="1" customWidth="1"/>
    <col min="3078" max="3078" width="11.5703125" bestFit="1" customWidth="1"/>
    <col min="3079" max="3079" width="0" hidden="1" customWidth="1"/>
    <col min="3329" max="3329" width="58.140625" bestFit="1" customWidth="1"/>
    <col min="3330" max="3330" width="15.85546875" bestFit="1" customWidth="1"/>
    <col min="3331" max="3331" width="14.42578125" customWidth="1"/>
    <col min="3332" max="3332" width="14.85546875" bestFit="1" customWidth="1"/>
    <col min="3333" max="3333" width="15.85546875" bestFit="1" customWidth="1"/>
    <col min="3334" max="3334" width="11.5703125" bestFit="1" customWidth="1"/>
    <col min="3335" max="3335" width="0" hidden="1" customWidth="1"/>
    <col min="3585" max="3585" width="58.140625" bestFit="1" customWidth="1"/>
    <col min="3586" max="3586" width="15.85546875" bestFit="1" customWidth="1"/>
    <col min="3587" max="3587" width="14.42578125" customWidth="1"/>
    <col min="3588" max="3588" width="14.85546875" bestFit="1" customWidth="1"/>
    <col min="3589" max="3589" width="15.85546875" bestFit="1" customWidth="1"/>
    <col min="3590" max="3590" width="11.5703125" bestFit="1" customWidth="1"/>
    <col min="3591" max="3591" width="0" hidden="1" customWidth="1"/>
    <col min="3841" max="3841" width="58.140625" bestFit="1" customWidth="1"/>
    <col min="3842" max="3842" width="15.85546875" bestFit="1" customWidth="1"/>
    <col min="3843" max="3843" width="14.42578125" customWidth="1"/>
    <col min="3844" max="3844" width="14.85546875" bestFit="1" customWidth="1"/>
    <col min="3845" max="3845" width="15.85546875" bestFit="1" customWidth="1"/>
    <col min="3846" max="3846" width="11.5703125" bestFit="1" customWidth="1"/>
    <col min="3847" max="3847" width="0" hidden="1" customWidth="1"/>
    <col min="4097" max="4097" width="58.140625" bestFit="1" customWidth="1"/>
    <col min="4098" max="4098" width="15.85546875" bestFit="1" customWidth="1"/>
    <col min="4099" max="4099" width="14.42578125" customWidth="1"/>
    <col min="4100" max="4100" width="14.85546875" bestFit="1" customWidth="1"/>
    <col min="4101" max="4101" width="15.85546875" bestFit="1" customWidth="1"/>
    <col min="4102" max="4102" width="11.5703125" bestFit="1" customWidth="1"/>
    <col min="4103" max="4103" width="0" hidden="1" customWidth="1"/>
    <col min="4353" max="4353" width="58.140625" bestFit="1" customWidth="1"/>
    <col min="4354" max="4354" width="15.85546875" bestFit="1" customWidth="1"/>
    <col min="4355" max="4355" width="14.42578125" customWidth="1"/>
    <col min="4356" max="4356" width="14.85546875" bestFit="1" customWidth="1"/>
    <col min="4357" max="4357" width="15.85546875" bestFit="1" customWidth="1"/>
    <col min="4358" max="4358" width="11.5703125" bestFit="1" customWidth="1"/>
    <col min="4359" max="4359" width="0" hidden="1" customWidth="1"/>
    <col min="4609" max="4609" width="58.140625" bestFit="1" customWidth="1"/>
    <col min="4610" max="4610" width="15.85546875" bestFit="1" customWidth="1"/>
    <col min="4611" max="4611" width="14.42578125" customWidth="1"/>
    <col min="4612" max="4612" width="14.85546875" bestFit="1" customWidth="1"/>
    <col min="4613" max="4613" width="15.85546875" bestFit="1" customWidth="1"/>
    <col min="4614" max="4614" width="11.5703125" bestFit="1" customWidth="1"/>
    <col min="4615" max="4615" width="0" hidden="1" customWidth="1"/>
    <col min="4865" max="4865" width="58.140625" bestFit="1" customWidth="1"/>
    <col min="4866" max="4866" width="15.85546875" bestFit="1" customWidth="1"/>
    <col min="4867" max="4867" width="14.42578125" customWidth="1"/>
    <col min="4868" max="4868" width="14.85546875" bestFit="1" customWidth="1"/>
    <col min="4869" max="4869" width="15.85546875" bestFit="1" customWidth="1"/>
    <col min="4870" max="4870" width="11.5703125" bestFit="1" customWidth="1"/>
    <col min="4871" max="4871" width="0" hidden="1" customWidth="1"/>
    <col min="5121" max="5121" width="58.140625" bestFit="1" customWidth="1"/>
    <col min="5122" max="5122" width="15.85546875" bestFit="1" customWidth="1"/>
    <col min="5123" max="5123" width="14.42578125" customWidth="1"/>
    <col min="5124" max="5124" width="14.85546875" bestFit="1" customWidth="1"/>
    <col min="5125" max="5125" width="15.85546875" bestFit="1" customWidth="1"/>
    <col min="5126" max="5126" width="11.5703125" bestFit="1" customWidth="1"/>
    <col min="5127" max="5127" width="0" hidden="1" customWidth="1"/>
    <col min="5377" max="5377" width="58.140625" bestFit="1" customWidth="1"/>
    <col min="5378" max="5378" width="15.85546875" bestFit="1" customWidth="1"/>
    <col min="5379" max="5379" width="14.42578125" customWidth="1"/>
    <col min="5380" max="5380" width="14.85546875" bestFit="1" customWidth="1"/>
    <col min="5381" max="5381" width="15.85546875" bestFit="1" customWidth="1"/>
    <col min="5382" max="5382" width="11.5703125" bestFit="1" customWidth="1"/>
    <col min="5383" max="5383" width="0" hidden="1" customWidth="1"/>
    <col min="5633" max="5633" width="58.140625" bestFit="1" customWidth="1"/>
    <col min="5634" max="5634" width="15.85546875" bestFit="1" customWidth="1"/>
    <col min="5635" max="5635" width="14.42578125" customWidth="1"/>
    <col min="5636" max="5636" width="14.85546875" bestFit="1" customWidth="1"/>
    <col min="5637" max="5637" width="15.85546875" bestFit="1" customWidth="1"/>
    <col min="5638" max="5638" width="11.5703125" bestFit="1" customWidth="1"/>
    <col min="5639" max="5639" width="0" hidden="1" customWidth="1"/>
    <col min="5889" max="5889" width="58.140625" bestFit="1" customWidth="1"/>
    <col min="5890" max="5890" width="15.85546875" bestFit="1" customWidth="1"/>
    <col min="5891" max="5891" width="14.42578125" customWidth="1"/>
    <col min="5892" max="5892" width="14.85546875" bestFit="1" customWidth="1"/>
    <col min="5893" max="5893" width="15.85546875" bestFit="1" customWidth="1"/>
    <col min="5894" max="5894" width="11.5703125" bestFit="1" customWidth="1"/>
    <col min="5895" max="5895" width="0" hidden="1" customWidth="1"/>
    <col min="6145" max="6145" width="58.140625" bestFit="1" customWidth="1"/>
    <col min="6146" max="6146" width="15.85546875" bestFit="1" customWidth="1"/>
    <col min="6147" max="6147" width="14.42578125" customWidth="1"/>
    <col min="6148" max="6148" width="14.85546875" bestFit="1" customWidth="1"/>
    <col min="6149" max="6149" width="15.85546875" bestFit="1" customWidth="1"/>
    <col min="6150" max="6150" width="11.5703125" bestFit="1" customWidth="1"/>
    <col min="6151" max="6151" width="0" hidden="1" customWidth="1"/>
    <col min="6401" max="6401" width="58.140625" bestFit="1" customWidth="1"/>
    <col min="6402" max="6402" width="15.85546875" bestFit="1" customWidth="1"/>
    <col min="6403" max="6403" width="14.42578125" customWidth="1"/>
    <col min="6404" max="6404" width="14.85546875" bestFit="1" customWidth="1"/>
    <col min="6405" max="6405" width="15.85546875" bestFit="1" customWidth="1"/>
    <col min="6406" max="6406" width="11.5703125" bestFit="1" customWidth="1"/>
    <col min="6407" max="6407" width="0" hidden="1" customWidth="1"/>
    <col min="6657" max="6657" width="58.140625" bestFit="1" customWidth="1"/>
    <col min="6658" max="6658" width="15.85546875" bestFit="1" customWidth="1"/>
    <col min="6659" max="6659" width="14.42578125" customWidth="1"/>
    <col min="6660" max="6660" width="14.85546875" bestFit="1" customWidth="1"/>
    <col min="6661" max="6661" width="15.85546875" bestFit="1" customWidth="1"/>
    <col min="6662" max="6662" width="11.5703125" bestFit="1" customWidth="1"/>
    <col min="6663" max="6663" width="0" hidden="1" customWidth="1"/>
    <col min="6913" max="6913" width="58.140625" bestFit="1" customWidth="1"/>
    <col min="6914" max="6914" width="15.85546875" bestFit="1" customWidth="1"/>
    <col min="6915" max="6915" width="14.42578125" customWidth="1"/>
    <col min="6916" max="6916" width="14.85546875" bestFit="1" customWidth="1"/>
    <col min="6917" max="6917" width="15.85546875" bestFit="1" customWidth="1"/>
    <col min="6918" max="6918" width="11.5703125" bestFit="1" customWidth="1"/>
    <col min="6919" max="6919" width="0" hidden="1" customWidth="1"/>
    <col min="7169" max="7169" width="58.140625" bestFit="1" customWidth="1"/>
    <col min="7170" max="7170" width="15.85546875" bestFit="1" customWidth="1"/>
    <col min="7171" max="7171" width="14.42578125" customWidth="1"/>
    <col min="7172" max="7172" width="14.85546875" bestFit="1" customWidth="1"/>
    <col min="7173" max="7173" width="15.85546875" bestFit="1" customWidth="1"/>
    <col min="7174" max="7174" width="11.5703125" bestFit="1" customWidth="1"/>
    <col min="7175" max="7175" width="0" hidden="1" customWidth="1"/>
    <col min="7425" max="7425" width="58.140625" bestFit="1" customWidth="1"/>
    <col min="7426" max="7426" width="15.85546875" bestFit="1" customWidth="1"/>
    <col min="7427" max="7427" width="14.42578125" customWidth="1"/>
    <col min="7428" max="7428" width="14.85546875" bestFit="1" customWidth="1"/>
    <col min="7429" max="7429" width="15.85546875" bestFit="1" customWidth="1"/>
    <col min="7430" max="7430" width="11.5703125" bestFit="1" customWidth="1"/>
    <col min="7431" max="7431" width="0" hidden="1" customWidth="1"/>
    <col min="7681" max="7681" width="58.140625" bestFit="1" customWidth="1"/>
    <col min="7682" max="7682" width="15.85546875" bestFit="1" customWidth="1"/>
    <col min="7683" max="7683" width="14.42578125" customWidth="1"/>
    <col min="7684" max="7684" width="14.85546875" bestFit="1" customWidth="1"/>
    <col min="7685" max="7685" width="15.85546875" bestFit="1" customWidth="1"/>
    <col min="7686" max="7686" width="11.5703125" bestFit="1" customWidth="1"/>
    <col min="7687" max="7687" width="0" hidden="1" customWidth="1"/>
    <col min="7937" max="7937" width="58.140625" bestFit="1" customWidth="1"/>
    <col min="7938" max="7938" width="15.85546875" bestFit="1" customWidth="1"/>
    <col min="7939" max="7939" width="14.42578125" customWidth="1"/>
    <col min="7940" max="7940" width="14.85546875" bestFit="1" customWidth="1"/>
    <col min="7941" max="7941" width="15.85546875" bestFit="1" customWidth="1"/>
    <col min="7942" max="7942" width="11.5703125" bestFit="1" customWidth="1"/>
    <col min="7943" max="7943" width="0" hidden="1" customWidth="1"/>
    <col min="8193" max="8193" width="58.140625" bestFit="1" customWidth="1"/>
    <col min="8194" max="8194" width="15.85546875" bestFit="1" customWidth="1"/>
    <col min="8195" max="8195" width="14.42578125" customWidth="1"/>
    <col min="8196" max="8196" width="14.85546875" bestFit="1" customWidth="1"/>
    <col min="8197" max="8197" width="15.85546875" bestFit="1" customWidth="1"/>
    <col min="8198" max="8198" width="11.5703125" bestFit="1" customWidth="1"/>
    <col min="8199" max="8199" width="0" hidden="1" customWidth="1"/>
    <col min="8449" max="8449" width="58.140625" bestFit="1" customWidth="1"/>
    <col min="8450" max="8450" width="15.85546875" bestFit="1" customWidth="1"/>
    <col min="8451" max="8451" width="14.42578125" customWidth="1"/>
    <col min="8452" max="8452" width="14.85546875" bestFit="1" customWidth="1"/>
    <col min="8453" max="8453" width="15.85546875" bestFit="1" customWidth="1"/>
    <col min="8454" max="8454" width="11.5703125" bestFit="1" customWidth="1"/>
    <col min="8455" max="8455" width="0" hidden="1" customWidth="1"/>
    <col min="8705" max="8705" width="58.140625" bestFit="1" customWidth="1"/>
    <col min="8706" max="8706" width="15.85546875" bestFit="1" customWidth="1"/>
    <col min="8707" max="8707" width="14.42578125" customWidth="1"/>
    <col min="8708" max="8708" width="14.85546875" bestFit="1" customWidth="1"/>
    <col min="8709" max="8709" width="15.85546875" bestFit="1" customWidth="1"/>
    <col min="8710" max="8710" width="11.5703125" bestFit="1" customWidth="1"/>
    <col min="8711" max="8711" width="0" hidden="1" customWidth="1"/>
    <col min="8961" max="8961" width="58.140625" bestFit="1" customWidth="1"/>
    <col min="8962" max="8962" width="15.85546875" bestFit="1" customWidth="1"/>
    <col min="8963" max="8963" width="14.42578125" customWidth="1"/>
    <col min="8964" max="8964" width="14.85546875" bestFit="1" customWidth="1"/>
    <col min="8965" max="8965" width="15.85546875" bestFit="1" customWidth="1"/>
    <col min="8966" max="8966" width="11.5703125" bestFit="1" customWidth="1"/>
    <col min="8967" max="8967" width="0" hidden="1" customWidth="1"/>
    <col min="9217" max="9217" width="58.140625" bestFit="1" customWidth="1"/>
    <col min="9218" max="9218" width="15.85546875" bestFit="1" customWidth="1"/>
    <col min="9219" max="9219" width="14.42578125" customWidth="1"/>
    <col min="9220" max="9220" width="14.85546875" bestFit="1" customWidth="1"/>
    <col min="9221" max="9221" width="15.85546875" bestFit="1" customWidth="1"/>
    <col min="9222" max="9222" width="11.5703125" bestFit="1" customWidth="1"/>
    <col min="9223" max="9223" width="0" hidden="1" customWidth="1"/>
    <col min="9473" max="9473" width="58.140625" bestFit="1" customWidth="1"/>
    <col min="9474" max="9474" width="15.85546875" bestFit="1" customWidth="1"/>
    <col min="9475" max="9475" width="14.42578125" customWidth="1"/>
    <col min="9476" max="9476" width="14.85546875" bestFit="1" customWidth="1"/>
    <col min="9477" max="9477" width="15.85546875" bestFit="1" customWidth="1"/>
    <col min="9478" max="9478" width="11.5703125" bestFit="1" customWidth="1"/>
    <col min="9479" max="9479" width="0" hidden="1" customWidth="1"/>
    <col min="9729" max="9729" width="58.140625" bestFit="1" customWidth="1"/>
    <col min="9730" max="9730" width="15.85546875" bestFit="1" customWidth="1"/>
    <col min="9731" max="9731" width="14.42578125" customWidth="1"/>
    <col min="9732" max="9732" width="14.85546875" bestFit="1" customWidth="1"/>
    <col min="9733" max="9733" width="15.85546875" bestFit="1" customWidth="1"/>
    <col min="9734" max="9734" width="11.5703125" bestFit="1" customWidth="1"/>
    <col min="9735" max="9735" width="0" hidden="1" customWidth="1"/>
    <col min="9985" max="9985" width="58.140625" bestFit="1" customWidth="1"/>
    <col min="9986" max="9986" width="15.85546875" bestFit="1" customWidth="1"/>
    <col min="9987" max="9987" width="14.42578125" customWidth="1"/>
    <col min="9988" max="9988" width="14.85546875" bestFit="1" customWidth="1"/>
    <col min="9989" max="9989" width="15.85546875" bestFit="1" customWidth="1"/>
    <col min="9990" max="9990" width="11.5703125" bestFit="1" customWidth="1"/>
    <col min="9991" max="9991" width="0" hidden="1" customWidth="1"/>
    <col min="10241" max="10241" width="58.140625" bestFit="1" customWidth="1"/>
    <col min="10242" max="10242" width="15.85546875" bestFit="1" customWidth="1"/>
    <col min="10243" max="10243" width="14.42578125" customWidth="1"/>
    <col min="10244" max="10244" width="14.85546875" bestFit="1" customWidth="1"/>
    <col min="10245" max="10245" width="15.85546875" bestFit="1" customWidth="1"/>
    <col min="10246" max="10246" width="11.5703125" bestFit="1" customWidth="1"/>
    <col min="10247" max="10247" width="0" hidden="1" customWidth="1"/>
    <col min="10497" max="10497" width="58.140625" bestFit="1" customWidth="1"/>
    <col min="10498" max="10498" width="15.85546875" bestFit="1" customWidth="1"/>
    <col min="10499" max="10499" width="14.42578125" customWidth="1"/>
    <col min="10500" max="10500" width="14.85546875" bestFit="1" customWidth="1"/>
    <col min="10501" max="10501" width="15.85546875" bestFit="1" customWidth="1"/>
    <col min="10502" max="10502" width="11.5703125" bestFit="1" customWidth="1"/>
    <col min="10503" max="10503" width="0" hidden="1" customWidth="1"/>
    <col min="10753" max="10753" width="58.140625" bestFit="1" customWidth="1"/>
    <col min="10754" max="10754" width="15.85546875" bestFit="1" customWidth="1"/>
    <col min="10755" max="10755" width="14.42578125" customWidth="1"/>
    <col min="10756" max="10756" width="14.85546875" bestFit="1" customWidth="1"/>
    <col min="10757" max="10757" width="15.85546875" bestFit="1" customWidth="1"/>
    <col min="10758" max="10758" width="11.5703125" bestFit="1" customWidth="1"/>
    <col min="10759" max="10759" width="0" hidden="1" customWidth="1"/>
    <col min="11009" max="11009" width="58.140625" bestFit="1" customWidth="1"/>
    <col min="11010" max="11010" width="15.85546875" bestFit="1" customWidth="1"/>
    <col min="11011" max="11011" width="14.42578125" customWidth="1"/>
    <col min="11012" max="11012" width="14.85546875" bestFit="1" customWidth="1"/>
    <col min="11013" max="11013" width="15.85546875" bestFit="1" customWidth="1"/>
    <col min="11014" max="11014" width="11.5703125" bestFit="1" customWidth="1"/>
    <col min="11015" max="11015" width="0" hidden="1" customWidth="1"/>
    <col min="11265" max="11265" width="58.140625" bestFit="1" customWidth="1"/>
    <col min="11266" max="11266" width="15.85546875" bestFit="1" customWidth="1"/>
    <col min="11267" max="11267" width="14.42578125" customWidth="1"/>
    <col min="11268" max="11268" width="14.85546875" bestFit="1" customWidth="1"/>
    <col min="11269" max="11269" width="15.85546875" bestFit="1" customWidth="1"/>
    <col min="11270" max="11270" width="11.5703125" bestFit="1" customWidth="1"/>
    <col min="11271" max="11271" width="0" hidden="1" customWidth="1"/>
    <col min="11521" max="11521" width="58.140625" bestFit="1" customWidth="1"/>
    <col min="11522" max="11522" width="15.85546875" bestFit="1" customWidth="1"/>
    <col min="11523" max="11523" width="14.42578125" customWidth="1"/>
    <col min="11524" max="11524" width="14.85546875" bestFit="1" customWidth="1"/>
    <col min="11525" max="11525" width="15.85546875" bestFit="1" customWidth="1"/>
    <col min="11526" max="11526" width="11.5703125" bestFit="1" customWidth="1"/>
    <col min="11527" max="11527" width="0" hidden="1" customWidth="1"/>
    <col min="11777" max="11777" width="58.140625" bestFit="1" customWidth="1"/>
    <col min="11778" max="11778" width="15.85546875" bestFit="1" customWidth="1"/>
    <col min="11779" max="11779" width="14.42578125" customWidth="1"/>
    <col min="11780" max="11780" width="14.85546875" bestFit="1" customWidth="1"/>
    <col min="11781" max="11781" width="15.85546875" bestFit="1" customWidth="1"/>
    <col min="11782" max="11782" width="11.5703125" bestFit="1" customWidth="1"/>
    <col min="11783" max="11783" width="0" hidden="1" customWidth="1"/>
    <col min="12033" max="12033" width="58.140625" bestFit="1" customWidth="1"/>
    <col min="12034" max="12034" width="15.85546875" bestFit="1" customWidth="1"/>
    <col min="12035" max="12035" width="14.42578125" customWidth="1"/>
    <col min="12036" max="12036" width="14.85546875" bestFit="1" customWidth="1"/>
    <col min="12037" max="12037" width="15.85546875" bestFit="1" customWidth="1"/>
    <col min="12038" max="12038" width="11.5703125" bestFit="1" customWidth="1"/>
    <col min="12039" max="12039" width="0" hidden="1" customWidth="1"/>
    <col min="12289" max="12289" width="58.140625" bestFit="1" customWidth="1"/>
    <col min="12290" max="12290" width="15.85546875" bestFit="1" customWidth="1"/>
    <col min="12291" max="12291" width="14.42578125" customWidth="1"/>
    <col min="12292" max="12292" width="14.85546875" bestFit="1" customWidth="1"/>
    <col min="12293" max="12293" width="15.85546875" bestFit="1" customWidth="1"/>
    <col min="12294" max="12294" width="11.5703125" bestFit="1" customWidth="1"/>
    <col min="12295" max="12295" width="0" hidden="1" customWidth="1"/>
    <col min="12545" max="12545" width="58.140625" bestFit="1" customWidth="1"/>
    <col min="12546" max="12546" width="15.85546875" bestFit="1" customWidth="1"/>
    <col min="12547" max="12547" width="14.42578125" customWidth="1"/>
    <col min="12548" max="12548" width="14.85546875" bestFit="1" customWidth="1"/>
    <col min="12549" max="12549" width="15.85546875" bestFit="1" customWidth="1"/>
    <col min="12550" max="12550" width="11.5703125" bestFit="1" customWidth="1"/>
    <col min="12551" max="12551" width="0" hidden="1" customWidth="1"/>
    <col min="12801" max="12801" width="58.140625" bestFit="1" customWidth="1"/>
    <col min="12802" max="12802" width="15.85546875" bestFit="1" customWidth="1"/>
    <col min="12803" max="12803" width="14.42578125" customWidth="1"/>
    <col min="12804" max="12804" width="14.85546875" bestFit="1" customWidth="1"/>
    <col min="12805" max="12805" width="15.85546875" bestFit="1" customWidth="1"/>
    <col min="12806" max="12806" width="11.5703125" bestFit="1" customWidth="1"/>
    <col min="12807" max="12807" width="0" hidden="1" customWidth="1"/>
    <col min="13057" max="13057" width="58.140625" bestFit="1" customWidth="1"/>
    <col min="13058" max="13058" width="15.85546875" bestFit="1" customWidth="1"/>
    <col min="13059" max="13059" width="14.42578125" customWidth="1"/>
    <col min="13060" max="13060" width="14.85546875" bestFit="1" customWidth="1"/>
    <col min="13061" max="13061" width="15.85546875" bestFit="1" customWidth="1"/>
    <col min="13062" max="13062" width="11.5703125" bestFit="1" customWidth="1"/>
    <col min="13063" max="13063" width="0" hidden="1" customWidth="1"/>
    <col min="13313" max="13313" width="58.140625" bestFit="1" customWidth="1"/>
    <col min="13314" max="13314" width="15.85546875" bestFit="1" customWidth="1"/>
    <col min="13315" max="13315" width="14.42578125" customWidth="1"/>
    <col min="13316" max="13316" width="14.85546875" bestFit="1" customWidth="1"/>
    <col min="13317" max="13317" width="15.85546875" bestFit="1" customWidth="1"/>
    <col min="13318" max="13318" width="11.5703125" bestFit="1" customWidth="1"/>
    <col min="13319" max="13319" width="0" hidden="1" customWidth="1"/>
    <col min="13569" max="13569" width="58.140625" bestFit="1" customWidth="1"/>
    <col min="13570" max="13570" width="15.85546875" bestFit="1" customWidth="1"/>
    <col min="13571" max="13571" width="14.42578125" customWidth="1"/>
    <col min="13572" max="13572" width="14.85546875" bestFit="1" customWidth="1"/>
    <col min="13573" max="13573" width="15.85546875" bestFit="1" customWidth="1"/>
    <col min="13574" max="13574" width="11.5703125" bestFit="1" customWidth="1"/>
    <col min="13575" max="13575" width="0" hidden="1" customWidth="1"/>
    <col min="13825" max="13825" width="58.140625" bestFit="1" customWidth="1"/>
    <col min="13826" max="13826" width="15.85546875" bestFit="1" customWidth="1"/>
    <col min="13827" max="13827" width="14.42578125" customWidth="1"/>
    <col min="13828" max="13828" width="14.85546875" bestFit="1" customWidth="1"/>
    <col min="13829" max="13829" width="15.85546875" bestFit="1" customWidth="1"/>
    <col min="13830" max="13830" width="11.5703125" bestFit="1" customWidth="1"/>
    <col min="13831" max="13831" width="0" hidden="1" customWidth="1"/>
    <col min="14081" max="14081" width="58.140625" bestFit="1" customWidth="1"/>
    <col min="14082" max="14082" width="15.85546875" bestFit="1" customWidth="1"/>
    <col min="14083" max="14083" width="14.42578125" customWidth="1"/>
    <col min="14084" max="14084" width="14.85546875" bestFit="1" customWidth="1"/>
    <col min="14085" max="14085" width="15.85546875" bestFit="1" customWidth="1"/>
    <col min="14086" max="14086" width="11.5703125" bestFit="1" customWidth="1"/>
    <col min="14087" max="14087" width="0" hidden="1" customWidth="1"/>
    <col min="14337" max="14337" width="58.140625" bestFit="1" customWidth="1"/>
    <col min="14338" max="14338" width="15.85546875" bestFit="1" customWidth="1"/>
    <col min="14339" max="14339" width="14.42578125" customWidth="1"/>
    <col min="14340" max="14340" width="14.85546875" bestFit="1" customWidth="1"/>
    <col min="14341" max="14341" width="15.85546875" bestFit="1" customWidth="1"/>
    <col min="14342" max="14342" width="11.5703125" bestFit="1" customWidth="1"/>
    <col min="14343" max="14343" width="0" hidden="1" customWidth="1"/>
    <col min="14593" max="14593" width="58.140625" bestFit="1" customWidth="1"/>
    <col min="14594" max="14594" width="15.85546875" bestFit="1" customWidth="1"/>
    <col min="14595" max="14595" width="14.42578125" customWidth="1"/>
    <col min="14596" max="14596" width="14.85546875" bestFit="1" customWidth="1"/>
    <col min="14597" max="14597" width="15.85546875" bestFit="1" customWidth="1"/>
    <col min="14598" max="14598" width="11.5703125" bestFit="1" customWidth="1"/>
    <col min="14599" max="14599" width="0" hidden="1" customWidth="1"/>
    <col min="14849" max="14849" width="58.140625" bestFit="1" customWidth="1"/>
    <col min="14850" max="14850" width="15.85546875" bestFit="1" customWidth="1"/>
    <col min="14851" max="14851" width="14.42578125" customWidth="1"/>
    <col min="14852" max="14852" width="14.85546875" bestFit="1" customWidth="1"/>
    <col min="14853" max="14853" width="15.85546875" bestFit="1" customWidth="1"/>
    <col min="14854" max="14854" width="11.5703125" bestFit="1" customWidth="1"/>
    <col min="14855" max="14855" width="0" hidden="1" customWidth="1"/>
    <col min="15105" max="15105" width="58.140625" bestFit="1" customWidth="1"/>
    <col min="15106" max="15106" width="15.85546875" bestFit="1" customWidth="1"/>
    <col min="15107" max="15107" width="14.42578125" customWidth="1"/>
    <col min="15108" max="15108" width="14.85546875" bestFit="1" customWidth="1"/>
    <col min="15109" max="15109" width="15.85546875" bestFit="1" customWidth="1"/>
    <col min="15110" max="15110" width="11.5703125" bestFit="1" customWidth="1"/>
    <col min="15111" max="15111" width="0" hidden="1" customWidth="1"/>
    <col min="15361" max="15361" width="58.140625" bestFit="1" customWidth="1"/>
    <col min="15362" max="15362" width="15.85546875" bestFit="1" customWidth="1"/>
    <col min="15363" max="15363" width="14.42578125" customWidth="1"/>
    <col min="15364" max="15364" width="14.85546875" bestFit="1" customWidth="1"/>
    <col min="15365" max="15365" width="15.85546875" bestFit="1" customWidth="1"/>
    <col min="15366" max="15366" width="11.5703125" bestFit="1" customWidth="1"/>
    <col min="15367" max="15367" width="0" hidden="1" customWidth="1"/>
    <col min="15617" max="15617" width="58.140625" bestFit="1" customWidth="1"/>
    <col min="15618" max="15618" width="15.85546875" bestFit="1" customWidth="1"/>
    <col min="15619" max="15619" width="14.42578125" customWidth="1"/>
    <col min="15620" max="15620" width="14.85546875" bestFit="1" customWidth="1"/>
    <col min="15621" max="15621" width="15.85546875" bestFit="1" customWidth="1"/>
    <col min="15622" max="15622" width="11.5703125" bestFit="1" customWidth="1"/>
    <col min="15623" max="15623" width="0" hidden="1" customWidth="1"/>
    <col min="15873" max="15873" width="58.140625" bestFit="1" customWidth="1"/>
    <col min="15874" max="15874" width="15.85546875" bestFit="1" customWidth="1"/>
    <col min="15875" max="15875" width="14.42578125" customWidth="1"/>
    <col min="15876" max="15876" width="14.85546875" bestFit="1" customWidth="1"/>
    <col min="15877" max="15877" width="15.85546875" bestFit="1" customWidth="1"/>
    <col min="15878" max="15878" width="11.5703125" bestFit="1" customWidth="1"/>
    <col min="15879" max="15879" width="0" hidden="1" customWidth="1"/>
    <col min="16129" max="16129" width="58.140625" bestFit="1" customWidth="1"/>
    <col min="16130" max="16130" width="15.85546875" bestFit="1" customWidth="1"/>
    <col min="16131" max="16131" width="14.42578125" customWidth="1"/>
    <col min="16132" max="16132" width="14.85546875" bestFit="1" customWidth="1"/>
    <col min="16133" max="16133" width="15.85546875" bestFit="1" customWidth="1"/>
    <col min="16134" max="16134" width="11.5703125" bestFit="1" customWidth="1"/>
    <col min="16135" max="16135" width="0" hidden="1" customWidth="1"/>
  </cols>
  <sheetData>
    <row r="1" spans="1:7" ht="15.75">
      <c r="A1" s="2327" t="s">
        <v>1905</v>
      </c>
      <c r="B1" s="2327"/>
      <c r="C1" s="2327"/>
      <c r="D1" s="903"/>
      <c r="E1" s="903"/>
    </row>
    <row r="2" spans="1:7" ht="15.75">
      <c r="A2" s="2327" t="s">
        <v>1906</v>
      </c>
      <c r="B2" s="2327"/>
      <c r="C2" s="2327"/>
      <c r="D2" s="903"/>
      <c r="E2" s="903"/>
    </row>
    <row r="3" spans="1:7">
      <c r="A3" s="2328" t="s">
        <v>1907</v>
      </c>
      <c r="B3" s="2328"/>
      <c r="C3" s="2328"/>
      <c r="D3" s="903"/>
      <c r="E3" s="903"/>
    </row>
    <row r="4" spans="1:7">
      <c r="A4" s="905" t="s">
        <v>1550</v>
      </c>
      <c r="B4" s="2329" t="s">
        <v>1905</v>
      </c>
      <c r="C4" s="2330"/>
      <c r="D4" s="2330"/>
      <c r="E4" s="2330"/>
    </row>
    <row r="5" spans="1:7">
      <c r="A5" s="906" t="s">
        <v>48</v>
      </c>
      <c r="B5" s="2331" t="s">
        <v>1907</v>
      </c>
      <c r="C5" s="2332"/>
      <c r="D5" s="2332"/>
      <c r="E5" s="2332"/>
    </row>
    <row r="6" spans="1:7">
      <c r="A6" s="906" t="s">
        <v>1550</v>
      </c>
      <c r="B6" s="907" t="s">
        <v>1908</v>
      </c>
      <c r="C6" s="2325" t="s">
        <v>1909</v>
      </c>
      <c r="D6" s="2326"/>
      <c r="E6" s="907" t="s">
        <v>1910</v>
      </c>
    </row>
    <row r="7" spans="1:7">
      <c r="A7" s="908" t="s">
        <v>1550</v>
      </c>
      <c r="B7" s="909" t="s">
        <v>1911</v>
      </c>
      <c r="C7" s="910" t="s">
        <v>1912</v>
      </c>
      <c r="D7" s="910" t="s">
        <v>1913</v>
      </c>
      <c r="E7" s="909" t="s">
        <v>1911</v>
      </c>
    </row>
    <row r="8" spans="1:7">
      <c r="A8" s="911" t="s">
        <v>1914</v>
      </c>
      <c r="B8" s="912"/>
      <c r="C8" s="913"/>
      <c r="D8" s="913"/>
      <c r="E8" s="914">
        <v>345827725.90999997</v>
      </c>
      <c r="G8" s="904">
        <f>-E8</f>
        <v>-345827725.90999997</v>
      </c>
    </row>
    <row r="9" spans="1:7">
      <c r="A9" s="915" t="s">
        <v>1915</v>
      </c>
      <c r="B9" s="916"/>
      <c r="C9" s="917"/>
      <c r="D9" s="917"/>
      <c r="E9" s="916"/>
    </row>
    <row r="10" spans="1:7">
      <c r="A10" s="918" t="s">
        <v>1916</v>
      </c>
      <c r="B10" s="914"/>
      <c r="C10" s="919"/>
      <c r="D10" s="920">
        <v>2436378</v>
      </c>
      <c r="E10" s="914">
        <f>+D10</f>
        <v>2436378</v>
      </c>
      <c r="G10" s="904">
        <f>-E10</f>
        <v>-2436378</v>
      </c>
    </row>
    <row r="11" spans="1:7">
      <c r="A11" s="921" t="s">
        <v>1917</v>
      </c>
      <c r="B11" s="922">
        <v>27740030</v>
      </c>
      <c r="C11" s="923">
        <v>54457826</v>
      </c>
      <c r="D11" s="924">
        <v>82197856</v>
      </c>
      <c r="E11" s="925"/>
    </row>
    <row r="12" spans="1:7">
      <c r="A12" s="926" t="s">
        <v>1918</v>
      </c>
      <c r="B12" s="927">
        <v>27740030</v>
      </c>
      <c r="C12" s="923">
        <v>54457826</v>
      </c>
      <c r="D12" s="924">
        <v>82197856</v>
      </c>
      <c r="E12" s="928"/>
    </row>
    <row r="13" spans="1:7">
      <c r="A13" s="929" t="s">
        <v>1919</v>
      </c>
      <c r="B13" s="927">
        <v>27740030</v>
      </c>
      <c r="C13" s="923">
        <v>54457826</v>
      </c>
      <c r="D13" s="923">
        <v>82197856</v>
      </c>
      <c r="E13" s="930"/>
    </row>
    <row r="14" spans="1:7">
      <c r="A14" s="921" t="s">
        <v>1920</v>
      </c>
      <c r="B14" s="931"/>
      <c r="C14" s="923">
        <v>82197856</v>
      </c>
      <c r="D14" s="920"/>
      <c r="E14" s="931">
        <f>+C14</f>
        <v>82197856</v>
      </c>
      <c r="G14" s="904">
        <f>+E14</f>
        <v>82197856</v>
      </c>
    </row>
    <row r="15" spans="1:7">
      <c r="A15" s="926" t="s">
        <v>1921</v>
      </c>
      <c r="B15" s="928"/>
      <c r="C15" s="923">
        <v>82197856</v>
      </c>
      <c r="D15" s="928"/>
      <c r="E15" s="931">
        <f>+C15</f>
        <v>82197856</v>
      </c>
    </row>
    <row r="16" spans="1:7">
      <c r="A16" s="926" t="s">
        <v>1922</v>
      </c>
      <c r="B16" s="930"/>
      <c r="C16" s="923">
        <v>82197856</v>
      </c>
      <c r="D16" s="932"/>
      <c r="E16" s="931">
        <f>+C16</f>
        <v>82197856</v>
      </c>
    </row>
    <row r="17" spans="1:7">
      <c r="A17" s="933" t="s">
        <v>1923</v>
      </c>
      <c r="B17" s="916">
        <f>+B18+B48</f>
        <v>106001648.23</v>
      </c>
      <c r="C17" s="916">
        <f>+C18+C48</f>
        <v>940387872.40999997</v>
      </c>
      <c r="D17" s="916">
        <f>+D18+D48</f>
        <v>840930094</v>
      </c>
      <c r="E17" s="916">
        <f>+E18+E48</f>
        <v>279216567.63999999</v>
      </c>
      <c r="G17" s="904">
        <f>+E17</f>
        <v>279216567.63999999</v>
      </c>
    </row>
    <row r="18" spans="1:7">
      <c r="A18" s="934" t="s">
        <v>1924</v>
      </c>
      <c r="C18" s="920">
        <f>+SUM(C19:C47)</f>
        <v>4503259</v>
      </c>
      <c r="D18" s="920">
        <f>+SUM(D19:D47)</f>
        <v>572795</v>
      </c>
      <c r="E18" s="927">
        <f>+SUM(E19:E47)</f>
        <v>77687605</v>
      </c>
    </row>
    <row r="19" spans="1:7">
      <c r="A19" s="935" t="s">
        <v>1925</v>
      </c>
      <c r="D19" s="923"/>
      <c r="E19" s="927">
        <v>722341</v>
      </c>
    </row>
    <row r="20" spans="1:7">
      <c r="A20" s="936" t="s">
        <v>1926</v>
      </c>
      <c r="B20" s="930"/>
      <c r="C20" s="923">
        <v>4503259</v>
      </c>
      <c r="D20" s="923">
        <v>572795</v>
      </c>
      <c r="E20" s="927">
        <v>3930464</v>
      </c>
    </row>
    <row r="21" spans="1:7">
      <c r="A21" s="935" t="s">
        <v>1927</v>
      </c>
      <c r="D21" s="923"/>
      <c r="E21" s="927">
        <v>29218920</v>
      </c>
      <c r="F21" s="937"/>
    </row>
    <row r="22" spans="1:7">
      <c r="A22" s="935" t="s">
        <v>1928</v>
      </c>
      <c r="D22" s="923"/>
      <c r="E22" s="927">
        <v>34300475</v>
      </c>
      <c r="F22" s="937"/>
    </row>
    <row r="23" spans="1:7">
      <c r="A23" s="926" t="s">
        <v>1929</v>
      </c>
      <c r="D23" s="923"/>
      <c r="E23" s="927">
        <v>109423</v>
      </c>
    </row>
    <row r="24" spans="1:7">
      <c r="A24" s="926" t="s">
        <v>1930</v>
      </c>
      <c r="D24" s="923"/>
      <c r="E24" s="927">
        <v>164135</v>
      </c>
    </row>
    <row r="25" spans="1:7">
      <c r="A25" s="926" t="s">
        <v>1931</v>
      </c>
      <c r="D25" s="923"/>
      <c r="E25" s="927">
        <v>219120</v>
      </c>
    </row>
    <row r="26" spans="1:7">
      <c r="A26" s="926" t="s">
        <v>1932</v>
      </c>
      <c r="D26" s="923"/>
      <c r="E26" s="927">
        <v>54780</v>
      </c>
    </row>
    <row r="27" spans="1:7">
      <c r="A27" s="926" t="s">
        <v>1933</v>
      </c>
      <c r="D27" s="923"/>
      <c r="E27" s="927">
        <v>109560</v>
      </c>
    </row>
    <row r="28" spans="1:7">
      <c r="A28" s="926" t="s">
        <v>1934</v>
      </c>
      <c r="D28" s="923"/>
      <c r="E28" s="927">
        <v>197208</v>
      </c>
    </row>
    <row r="29" spans="1:7">
      <c r="A29" s="926" t="s">
        <v>1935</v>
      </c>
      <c r="D29" s="923"/>
      <c r="E29" s="927">
        <v>102984</v>
      </c>
    </row>
    <row r="30" spans="1:7">
      <c r="A30" s="926" t="s">
        <v>1936</v>
      </c>
      <c r="D30" s="923"/>
      <c r="E30" s="927">
        <v>594912</v>
      </c>
    </row>
    <row r="31" spans="1:7">
      <c r="A31" s="926" t="s">
        <v>1937</v>
      </c>
      <c r="D31" s="923"/>
      <c r="E31" s="927">
        <v>32868</v>
      </c>
    </row>
    <row r="32" spans="1:7">
      <c r="A32" s="926" t="s">
        <v>1938</v>
      </c>
      <c r="D32" s="923"/>
      <c r="E32" s="927">
        <v>158868</v>
      </c>
    </row>
    <row r="33" spans="1:5">
      <c r="A33" s="926" t="s">
        <v>1939</v>
      </c>
      <c r="D33" s="923"/>
      <c r="E33" s="927">
        <v>45650</v>
      </c>
    </row>
    <row r="34" spans="1:5">
      <c r="A34" s="926" t="s">
        <v>1940</v>
      </c>
      <c r="D34" s="923"/>
      <c r="E34" s="927">
        <v>219120</v>
      </c>
    </row>
    <row r="35" spans="1:5">
      <c r="A35" s="926" t="s">
        <v>1941</v>
      </c>
      <c r="D35" s="923"/>
      <c r="E35" s="927">
        <v>219120</v>
      </c>
    </row>
    <row r="36" spans="1:5">
      <c r="A36" s="926" t="s">
        <v>1942</v>
      </c>
      <c r="D36" s="923"/>
      <c r="E36" s="927">
        <v>2401281</v>
      </c>
    </row>
    <row r="37" spans="1:5">
      <c r="A37" s="926" t="s">
        <v>1943</v>
      </c>
      <c r="D37" s="923"/>
      <c r="E37" s="927">
        <v>109560</v>
      </c>
    </row>
    <row r="38" spans="1:5">
      <c r="A38" s="926" t="s">
        <v>1944</v>
      </c>
      <c r="D38" s="923"/>
      <c r="E38" s="927">
        <v>3944160</v>
      </c>
    </row>
    <row r="39" spans="1:5">
      <c r="A39" s="926" t="s">
        <v>1945</v>
      </c>
      <c r="D39" s="923"/>
      <c r="E39" s="927">
        <v>109560</v>
      </c>
    </row>
    <row r="40" spans="1:5">
      <c r="A40" s="926" t="s">
        <v>1946</v>
      </c>
      <c r="D40" s="923"/>
      <c r="E40" s="927">
        <v>32868</v>
      </c>
    </row>
    <row r="41" spans="1:5">
      <c r="A41" s="926" t="s">
        <v>1947</v>
      </c>
      <c r="D41" s="923"/>
      <c r="E41" s="927">
        <v>21912</v>
      </c>
    </row>
    <row r="42" spans="1:5">
      <c r="A42" s="926" t="s">
        <v>1948</v>
      </c>
      <c r="D42" s="923"/>
      <c r="E42" s="927">
        <v>109560</v>
      </c>
    </row>
    <row r="43" spans="1:5">
      <c r="A43" s="926" t="s">
        <v>1949</v>
      </c>
      <c r="D43" s="923"/>
      <c r="E43" s="927">
        <v>65736</v>
      </c>
    </row>
    <row r="44" spans="1:5">
      <c r="A44" s="926" t="s">
        <v>1950</v>
      </c>
      <c r="D44" s="923"/>
      <c r="E44" s="927">
        <v>54780</v>
      </c>
    </row>
    <row r="45" spans="1:5">
      <c r="A45" s="926" t="s">
        <v>1951</v>
      </c>
      <c r="D45" s="923"/>
      <c r="E45" s="927">
        <v>164340</v>
      </c>
    </row>
    <row r="46" spans="1:5">
      <c r="A46" s="926" t="s">
        <v>1952</v>
      </c>
      <c r="D46" s="923"/>
      <c r="E46" s="927">
        <v>164340</v>
      </c>
    </row>
    <row r="47" spans="1:5">
      <c r="A47" s="926" t="s">
        <v>1953</v>
      </c>
      <c r="D47" s="923"/>
      <c r="E47" s="927">
        <v>109560</v>
      </c>
    </row>
    <row r="48" spans="1:5">
      <c r="A48" s="938" t="s">
        <v>1954</v>
      </c>
      <c r="B48" s="916">
        <v>106001648.23</v>
      </c>
      <c r="C48" s="939">
        <v>935884613.40999997</v>
      </c>
      <c r="D48" s="939">
        <v>840357299</v>
      </c>
      <c r="E48" s="916">
        <v>201528962.63999999</v>
      </c>
    </row>
    <row r="49" spans="1:7">
      <c r="A49" s="940" t="s">
        <v>1955</v>
      </c>
      <c r="B49" s="941">
        <v>100880995</v>
      </c>
      <c r="C49" s="942">
        <v>820790532</v>
      </c>
      <c r="D49" s="942">
        <v>743621971</v>
      </c>
      <c r="E49" s="941">
        <v>178049556</v>
      </c>
    </row>
    <row r="50" spans="1:7">
      <c r="A50" s="940" t="s">
        <v>1956</v>
      </c>
      <c r="B50" s="941">
        <v>420135</v>
      </c>
      <c r="C50" s="942">
        <v>724839</v>
      </c>
      <c r="D50" s="942">
        <v>72</v>
      </c>
      <c r="E50" s="941">
        <v>1144902</v>
      </c>
    </row>
    <row r="51" spans="1:7">
      <c r="A51" s="940" t="s">
        <v>1957</v>
      </c>
      <c r="B51" s="941">
        <v>647898</v>
      </c>
      <c r="C51" s="942">
        <v>218084</v>
      </c>
      <c r="D51" s="942">
        <v>72</v>
      </c>
      <c r="E51" s="941">
        <v>865910</v>
      </c>
    </row>
    <row r="52" spans="1:7">
      <c r="A52" s="940" t="s">
        <v>1958</v>
      </c>
      <c r="B52" s="941">
        <v>3919191.99</v>
      </c>
      <c r="C52" s="942">
        <v>114143145</v>
      </c>
      <c r="D52" s="942">
        <v>96727889</v>
      </c>
      <c r="E52" s="941">
        <v>21334447.989999998</v>
      </c>
    </row>
    <row r="53" spans="1:7">
      <c r="A53" s="940" t="s">
        <v>1959</v>
      </c>
      <c r="B53" s="941">
        <v>133428.24</v>
      </c>
      <c r="C53" s="942">
        <v>8013.41</v>
      </c>
      <c r="D53" s="942">
        <v>7295</v>
      </c>
      <c r="E53" s="941">
        <v>134146.65</v>
      </c>
    </row>
    <row r="54" spans="1:7">
      <c r="A54" s="938" t="s">
        <v>1960</v>
      </c>
      <c r="B54" s="912"/>
      <c r="C54" s="913"/>
      <c r="D54" s="913"/>
      <c r="E54" s="912"/>
    </row>
    <row r="55" spans="1:7">
      <c r="A55" s="943" t="s">
        <v>1961</v>
      </c>
      <c r="B55" s="944"/>
      <c r="C55" s="945">
        <v>76193026</v>
      </c>
      <c r="D55" s="945">
        <v>151693030</v>
      </c>
      <c r="E55" s="946">
        <v>75500004</v>
      </c>
      <c r="G55" s="904">
        <f>-E55</f>
        <v>-75500004</v>
      </c>
    </row>
    <row r="56" spans="1:7">
      <c r="A56" s="947" t="s">
        <v>1962</v>
      </c>
      <c r="B56" s="932"/>
      <c r="C56" s="942">
        <v>2894167</v>
      </c>
      <c r="D56" s="942">
        <v>2894167</v>
      </c>
      <c r="E56" s="932"/>
    </row>
    <row r="57" spans="1:7">
      <c r="A57" s="947" t="s">
        <v>1963</v>
      </c>
      <c r="B57" s="932"/>
      <c r="C57" s="942">
        <v>3397500</v>
      </c>
      <c r="D57" s="942">
        <v>3397500</v>
      </c>
      <c r="E57" s="932"/>
    </row>
    <row r="58" spans="1:7">
      <c r="A58" s="929" t="s">
        <v>1964</v>
      </c>
      <c r="B58" s="932"/>
      <c r="C58" s="942">
        <v>69901359</v>
      </c>
      <c r="D58" s="942">
        <v>74860904</v>
      </c>
      <c r="E58" s="948">
        <v>4959545</v>
      </c>
    </row>
    <row r="59" spans="1:7">
      <c r="A59" s="947" t="s">
        <v>1965</v>
      </c>
      <c r="B59" s="932"/>
      <c r="C59" s="930"/>
      <c r="D59" s="942">
        <v>639100</v>
      </c>
      <c r="E59" s="948">
        <v>639100</v>
      </c>
    </row>
    <row r="60" spans="1:7">
      <c r="A60" s="947" t="s">
        <v>1966</v>
      </c>
      <c r="B60" s="932"/>
      <c r="C60" s="930"/>
      <c r="D60" s="942">
        <v>32055204</v>
      </c>
      <c r="E60" s="948">
        <v>32055204</v>
      </c>
    </row>
    <row r="61" spans="1:7">
      <c r="A61" s="947" t="s">
        <v>1967</v>
      </c>
      <c r="B61" s="932"/>
      <c r="C61" s="930"/>
      <c r="D61" s="942">
        <v>37846155</v>
      </c>
      <c r="E61" s="948">
        <v>37846155</v>
      </c>
    </row>
    <row r="62" spans="1:7" ht="15.75" thickBot="1">
      <c r="A62" s="949" t="s">
        <v>1968</v>
      </c>
      <c r="B62" s="950"/>
      <c r="C62" s="1682"/>
      <c r="D62" s="1683">
        <f>+SUM(D64:D69)</f>
        <v>2394882</v>
      </c>
      <c r="E62" s="1683">
        <f>+SUM(E64:E69)</f>
        <v>2394882</v>
      </c>
      <c r="G62" s="904">
        <f>-E62</f>
        <v>-2394882</v>
      </c>
    </row>
    <row r="63" spans="1:7" ht="15.75" thickTop="1">
      <c r="A63" s="918" t="s">
        <v>1969</v>
      </c>
      <c r="B63" s="919"/>
      <c r="C63" s="1684"/>
      <c r="D63" s="1685">
        <v>1640780</v>
      </c>
      <c r="E63" s="1686">
        <f>+SUM(E64:E68)</f>
        <v>1640780</v>
      </c>
    </row>
    <row r="64" spans="1:7">
      <c r="A64" s="935" t="s">
        <v>1970</v>
      </c>
      <c r="B64" s="932"/>
      <c r="C64" s="1687"/>
      <c r="D64" s="1688">
        <v>9130</v>
      </c>
      <c r="E64" s="1689">
        <v>9130</v>
      </c>
    </row>
    <row r="65" spans="1:10">
      <c r="A65" s="935" t="s">
        <v>1971</v>
      </c>
      <c r="B65" s="932"/>
      <c r="C65" s="1687"/>
      <c r="D65" s="1688">
        <v>575000</v>
      </c>
      <c r="E65" s="1689">
        <v>575000</v>
      </c>
    </row>
    <row r="66" spans="1:10">
      <c r="A66" s="935" t="s">
        <v>1972</v>
      </c>
      <c r="B66" s="932"/>
      <c r="C66" s="1687"/>
      <c r="D66" s="1688">
        <v>479650</v>
      </c>
      <c r="E66" s="1689">
        <v>479650</v>
      </c>
    </row>
    <row r="67" spans="1:10">
      <c r="A67" s="935" t="s">
        <v>1973</v>
      </c>
      <c r="B67" s="932"/>
      <c r="C67" s="1687"/>
      <c r="D67" s="1688">
        <v>524000</v>
      </c>
      <c r="E67" s="1689">
        <v>524000</v>
      </c>
    </row>
    <row r="68" spans="1:10">
      <c r="A68" s="935" t="s">
        <v>1974</v>
      </c>
      <c r="B68" s="932"/>
      <c r="C68" s="1687"/>
      <c r="D68" s="1688">
        <v>53000</v>
      </c>
      <c r="E68" s="1689">
        <v>53000</v>
      </c>
    </row>
    <row r="69" spans="1:10">
      <c r="A69" s="918" t="s">
        <v>1975</v>
      </c>
      <c r="B69" s="932"/>
      <c r="C69" s="1598"/>
      <c r="D69" s="1690">
        <v>754102</v>
      </c>
      <c r="E69" s="1689">
        <v>754102</v>
      </c>
    </row>
    <row r="70" spans="1:10">
      <c r="A70" s="938" t="s">
        <v>1976</v>
      </c>
      <c r="B70" s="951"/>
      <c r="C70" s="1691">
        <v>64863248.270000003</v>
      </c>
      <c r="D70" s="1691">
        <v>133098</v>
      </c>
      <c r="E70" s="1692">
        <v>64730150.270000003</v>
      </c>
      <c r="G70" s="904">
        <f>+E70</f>
        <v>64730150.270000003</v>
      </c>
    </row>
    <row r="71" spans="1:10">
      <c r="A71" s="918" t="s">
        <v>499</v>
      </c>
      <c r="B71" s="944"/>
      <c r="C71" s="1693">
        <v>241057</v>
      </c>
      <c r="D71" s="1694"/>
      <c r="E71" s="1695">
        <v>241057</v>
      </c>
    </row>
    <row r="72" spans="1:10">
      <c r="A72" s="943" t="s">
        <v>1977</v>
      </c>
      <c r="B72" s="930"/>
      <c r="C72" s="1688">
        <v>241057</v>
      </c>
      <c r="D72" s="1687"/>
      <c r="E72" s="1696">
        <v>241057</v>
      </c>
    </row>
    <row r="73" spans="1:10">
      <c r="A73" s="918" t="s">
        <v>285</v>
      </c>
      <c r="B73" s="919"/>
      <c r="C73" s="1685">
        <v>62097939</v>
      </c>
      <c r="D73" s="1685">
        <v>133098</v>
      </c>
      <c r="E73" s="1697">
        <v>61964841</v>
      </c>
    </row>
    <row r="74" spans="1:10">
      <c r="A74" s="952" t="s">
        <v>1200</v>
      </c>
      <c r="B74" s="930"/>
      <c r="C74" s="1688">
        <v>6860458</v>
      </c>
      <c r="D74" s="1687"/>
      <c r="E74" s="1696">
        <v>6860458</v>
      </c>
    </row>
    <row r="75" spans="1:10">
      <c r="A75" s="952" t="s">
        <v>1978</v>
      </c>
      <c r="B75" s="930"/>
      <c r="C75" s="1688">
        <v>10020652</v>
      </c>
      <c r="D75" s="1688">
        <v>133098</v>
      </c>
      <c r="E75" s="1696">
        <v>9887554</v>
      </c>
    </row>
    <row r="76" spans="1:10">
      <c r="A76" s="952" t="s">
        <v>1204</v>
      </c>
      <c r="B76" s="930"/>
      <c r="C76" s="1688">
        <v>40307528</v>
      </c>
      <c r="D76" s="1687"/>
      <c r="E76" s="1696">
        <v>40307528</v>
      </c>
    </row>
    <row r="77" spans="1:10">
      <c r="A77" s="943" t="s">
        <v>1203</v>
      </c>
      <c r="B77" s="930"/>
      <c r="C77" s="1688">
        <v>162567</v>
      </c>
      <c r="D77" s="1687"/>
      <c r="E77" s="1696">
        <v>162567</v>
      </c>
    </row>
    <row r="78" spans="1:10">
      <c r="A78" s="952" t="s">
        <v>1979</v>
      </c>
      <c r="B78" s="930"/>
      <c r="C78" s="1688">
        <v>4746734</v>
      </c>
      <c r="D78" s="1687"/>
      <c r="E78" s="1696">
        <v>4746734</v>
      </c>
    </row>
    <row r="79" spans="1:10">
      <c r="A79" s="918" t="s">
        <v>1980</v>
      </c>
      <c r="B79" s="919"/>
      <c r="C79" s="1685">
        <v>2382652.27</v>
      </c>
      <c r="D79" s="1684"/>
      <c r="E79" s="1697">
        <v>2382652.27</v>
      </c>
      <c r="I79" t="s">
        <v>1981</v>
      </c>
      <c r="J79" s="354">
        <f>(C79+C72)/10^7</f>
        <v>0.26237092699999998</v>
      </c>
    </row>
    <row r="80" spans="1:10">
      <c r="A80" s="943" t="s">
        <v>1982</v>
      </c>
      <c r="B80" s="930"/>
      <c r="C80" s="1688">
        <v>1941871</v>
      </c>
      <c r="D80" s="1687"/>
      <c r="E80" s="1696">
        <v>1941871</v>
      </c>
      <c r="I80" t="s">
        <v>1983</v>
      </c>
      <c r="J80">
        <f>C85/10^7</f>
        <v>1.4160000000000001E-2</v>
      </c>
    </row>
    <row r="81" spans="1:7">
      <c r="A81" s="943" t="s">
        <v>1230</v>
      </c>
      <c r="B81" s="930"/>
      <c r="C81" s="1688">
        <v>139057</v>
      </c>
      <c r="D81" s="1687"/>
      <c r="E81" s="1696">
        <v>139057</v>
      </c>
    </row>
    <row r="82" spans="1:7">
      <c r="A82" s="952" t="s">
        <v>1984</v>
      </c>
      <c r="B82" s="930"/>
      <c r="C82" s="1688">
        <v>72724.27</v>
      </c>
      <c r="D82" s="1687"/>
      <c r="E82" s="1696">
        <v>72724.27</v>
      </c>
    </row>
    <row r="83" spans="1:7">
      <c r="A83" s="935" t="s">
        <v>1985</v>
      </c>
      <c r="B83" s="932"/>
      <c r="C83" s="1688">
        <v>9000</v>
      </c>
      <c r="D83" s="1687"/>
      <c r="E83" s="1698">
        <v>9000</v>
      </c>
    </row>
    <row r="84" spans="1:7">
      <c r="A84" s="935" t="s">
        <v>1986</v>
      </c>
      <c r="B84" s="932"/>
      <c r="C84" s="1688">
        <v>220000</v>
      </c>
      <c r="D84" s="1687"/>
      <c r="E84" s="1698">
        <v>220000</v>
      </c>
    </row>
    <row r="85" spans="1:7">
      <c r="A85" s="918" t="s">
        <v>1987</v>
      </c>
      <c r="B85" s="919"/>
      <c r="C85" s="1685">
        <v>141600</v>
      </c>
      <c r="D85" s="1684"/>
      <c r="E85" s="1697">
        <v>141600</v>
      </c>
    </row>
    <row r="86" spans="1:7">
      <c r="A86" s="943" t="s">
        <v>1988</v>
      </c>
      <c r="B86" s="930"/>
      <c r="C86" s="1688">
        <v>141600</v>
      </c>
      <c r="D86" s="1687"/>
      <c r="E86" s="1696">
        <v>141600</v>
      </c>
    </row>
    <row r="87" spans="1:7">
      <c r="A87" s="938" t="s">
        <v>1989</v>
      </c>
      <c r="B87" s="951"/>
      <c r="C87" s="1699">
        <v>1416</v>
      </c>
      <c r="D87" s="1700"/>
      <c r="E87" s="1692">
        <v>1416</v>
      </c>
      <c r="G87" s="904">
        <f>+E87</f>
        <v>1416</v>
      </c>
    </row>
    <row r="88" spans="1:7">
      <c r="A88" s="918" t="s">
        <v>1990</v>
      </c>
      <c r="B88" s="944"/>
      <c r="C88" s="1693">
        <v>1416</v>
      </c>
      <c r="D88" s="1694"/>
      <c r="E88" s="1695">
        <v>1416</v>
      </c>
    </row>
    <row r="89" spans="1:7">
      <c r="A89" s="943" t="s">
        <v>1991</v>
      </c>
      <c r="B89" s="953"/>
      <c r="C89" s="1701">
        <v>1416</v>
      </c>
      <c r="D89" s="1702"/>
      <c r="E89" s="1703">
        <v>1416</v>
      </c>
    </row>
    <row r="90" spans="1:7">
      <c r="A90" s="935" t="s">
        <v>1992</v>
      </c>
      <c r="B90" s="930"/>
      <c r="C90" s="1690">
        <v>1416</v>
      </c>
      <c r="D90" s="1704"/>
      <c r="E90" s="1696">
        <v>1416</v>
      </c>
    </row>
    <row r="91" spans="1:7">
      <c r="A91" s="938" t="s">
        <v>1993</v>
      </c>
      <c r="B91" s="951"/>
      <c r="C91" s="1699">
        <v>50000</v>
      </c>
      <c r="D91" s="1699">
        <v>63000</v>
      </c>
      <c r="E91" s="1705">
        <v>13000</v>
      </c>
      <c r="G91" s="904">
        <f>+E91</f>
        <v>13000</v>
      </c>
    </row>
    <row r="92" spans="1:7">
      <c r="A92" s="918" t="s">
        <v>1994</v>
      </c>
      <c r="B92" s="944"/>
      <c r="C92" s="1693">
        <v>50000</v>
      </c>
      <c r="D92" s="1693">
        <v>63000</v>
      </c>
      <c r="E92" s="1706">
        <v>13000</v>
      </c>
    </row>
    <row r="93" spans="1:7">
      <c r="A93" s="918" t="s">
        <v>209</v>
      </c>
      <c r="B93" s="953"/>
      <c r="C93" s="1701">
        <v>50000</v>
      </c>
      <c r="D93" s="1701">
        <v>63000</v>
      </c>
      <c r="E93" s="1707">
        <v>13000</v>
      </c>
    </row>
    <row r="94" spans="1:7">
      <c r="A94" s="943" t="s">
        <v>1995</v>
      </c>
      <c r="B94" s="944"/>
      <c r="C94" s="1693">
        <v>50000</v>
      </c>
      <c r="D94" s="1693">
        <v>63000</v>
      </c>
      <c r="E94" s="1706">
        <v>13000</v>
      </c>
    </row>
    <row r="95" spans="1:7">
      <c r="A95" s="936" t="s">
        <v>1996</v>
      </c>
      <c r="B95" s="932"/>
      <c r="C95" s="1688">
        <v>50000</v>
      </c>
      <c r="D95" s="1688">
        <v>63000</v>
      </c>
      <c r="E95" s="1689">
        <v>13000</v>
      </c>
      <c r="G95" s="904">
        <f>SUM(G7:G94)</f>
        <v>2.2351741790771484E-8</v>
      </c>
    </row>
  </sheetData>
  <mergeCells count="6">
    <mergeCell ref="C6:D6"/>
    <mergeCell ref="A1:C1"/>
    <mergeCell ref="A2:C2"/>
    <mergeCell ref="A3:C3"/>
    <mergeCell ref="B4:E4"/>
    <mergeCell ref="B5:E5"/>
  </mergeCells>
  <pageMargins left="0.7" right="0.7" top="0.75" bottom="0.75" header="0.3" footer="0.3"/>
  <pageSetup paperSize="9" orientation="portrait"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N41"/>
  <sheetViews>
    <sheetView showGridLines="0" view="pageBreakPreview" topLeftCell="B1" zoomScale="70" zoomScaleNormal="70" zoomScaleSheetLayoutView="70" workbookViewId="0">
      <selection activeCell="C28" sqref="C28"/>
    </sheetView>
  </sheetViews>
  <sheetFormatPr defaultRowHeight="15"/>
  <cols>
    <col min="1" max="1" width="3.85546875" style="156" customWidth="1"/>
    <col min="2" max="2" width="6.42578125" style="156" customWidth="1"/>
    <col min="3" max="3" width="75.42578125" style="156" customWidth="1"/>
    <col min="4" max="4" width="23.140625" style="156" bestFit="1" customWidth="1"/>
    <col min="5" max="5" width="17.42578125" style="156" customWidth="1"/>
    <col min="6" max="6" width="18" style="156" customWidth="1"/>
    <col min="7" max="7" width="12.28515625" style="156" customWidth="1"/>
    <col min="8" max="8" width="17.7109375" style="156" customWidth="1"/>
    <col min="9" max="9" width="13.42578125" style="156" bestFit="1" customWidth="1"/>
    <col min="10" max="257" width="9.140625" style="156"/>
    <col min="258" max="258" width="6.42578125" style="156" customWidth="1"/>
    <col min="259" max="259" width="75.42578125" style="156" customWidth="1"/>
    <col min="260" max="260" width="19.5703125" style="156" customWidth="1"/>
    <col min="261" max="261" width="17.42578125" style="156" customWidth="1"/>
    <col min="262" max="262" width="16.28515625" style="156" customWidth="1"/>
    <col min="263" max="513" width="9.140625" style="156"/>
    <col min="514" max="514" width="6.42578125" style="156" customWidth="1"/>
    <col min="515" max="515" width="75.42578125" style="156" customWidth="1"/>
    <col min="516" max="516" width="19.5703125" style="156" customWidth="1"/>
    <col min="517" max="517" width="17.42578125" style="156" customWidth="1"/>
    <col min="518" max="518" width="16.28515625" style="156" customWidth="1"/>
    <col min="519" max="769" width="9.140625" style="156"/>
    <col min="770" max="770" width="6.42578125" style="156" customWidth="1"/>
    <col min="771" max="771" width="75.42578125" style="156" customWidth="1"/>
    <col min="772" max="772" width="19.5703125" style="156" customWidth="1"/>
    <col min="773" max="773" width="17.42578125" style="156" customWidth="1"/>
    <col min="774" max="774" width="16.28515625" style="156" customWidth="1"/>
    <col min="775" max="1025" width="9.140625" style="156"/>
    <col min="1026" max="1026" width="6.42578125" style="156" customWidth="1"/>
    <col min="1027" max="1027" width="75.42578125" style="156" customWidth="1"/>
    <col min="1028" max="1028" width="19.5703125" style="156" customWidth="1"/>
    <col min="1029" max="1029" width="17.42578125" style="156" customWidth="1"/>
    <col min="1030" max="1030" width="16.28515625" style="156" customWidth="1"/>
    <col min="1031" max="1281" width="9.140625" style="156"/>
    <col min="1282" max="1282" width="6.42578125" style="156" customWidth="1"/>
    <col min="1283" max="1283" width="75.42578125" style="156" customWidth="1"/>
    <col min="1284" max="1284" width="19.5703125" style="156" customWidth="1"/>
    <col min="1285" max="1285" width="17.42578125" style="156" customWidth="1"/>
    <col min="1286" max="1286" width="16.28515625" style="156" customWidth="1"/>
    <col min="1287" max="1537" width="9.140625" style="156"/>
    <col min="1538" max="1538" width="6.42578125" style="156" customWidth="1"/>
    <col min="1539" max="1539" width="75.42578125" style="156" customWidth="1"/>
    <col min="1540" max="1540" width="19.5703125" style="156" customWidth="1"/>
    <col min="1541" max="1541" width="17.42578125" style="156" customWidth="1"/>
    <col min="1542" max="1542" width="16.28515625" style="156" customWidth="1"/>
    <col min="1543" max="1793" width="9.140625" style="156"/>
    <col min="1794" max="1794" width="6.42578125" style="156" customWidth="1"/>
    <col min="1795" max="1795" width="75.42578125" style="156" customWidth="1"/>
    <col min="1796" max="1796" width="19.5703125" style="156" customWidth="1"/>
    <col min="1797" max="1797" width="17.42578125" style="156" customWidth="1"/>
    <col min="1798" max="1798" width="16.28515625" style="156" customWidth="1"/>
    <col min="1799" max="2049" width="9.140625" style="156"/>
    <col min="2050" max="2050" width="6.42578125" style="156" customWidth="1"/>
    <col min="2051" max="2051" width="75.42578125" style="156" customWidth="1"/>
    <col min="2052" max="2052" width="19.5703125" style="156" customWidth="1"/>
    <col min="2053" max="2053" width="17.42578125" style="156" customWidth="1"/>
    <col min="2054" max="2054" width="16.28515625" style="156" customWidth="1"/>
    <col min="2055" max="2305" width="9.140625" style="156"/>
    <col min="2306" max="2306" width="6.42578125" style="156" customWidth="1"/>
    <col min="2307" max="2307" width="75.42578125" style="156" customWidth="1"/>
    <col min="2308" max="2308" width="19.5703125" style="156" customWidth="1"/>
    <col min="2309" max="2309" width="17.42578125" style="156" customWidth="1"/>
    <col min="2310" max="2310" width="16.28515625" style="156" customWidth="1"/>
    <col min="2311" max="2561" width="9.140625" style="156"/>
    <col min="2562" max="2562" width="6.42578125" style="156" customWidth="1"/>
    <col min="2563" max="2563" width="75.42578125" style="156" customWidth="1"/>
    <col min="2564" max="2564" width="19.5703125" style="156" customWidth="1"/>
    <col min="2565" max="2565" width="17.42578125" style="156" customWidth="1"/>
    <col min="2566" max="2566" width="16.28515625" style="156" customWidth="1"/>
    <col min="2567" max="2817" width="9.140625" style="156"/>
    <col min="2818" max="2818" width="6.42578125" style="156" customWidth="1"/>
    <col min="2819" max="2819" width="75.42578125" style="156" customWidth="1"/>
    <col min="2820" max="2820" width="19.5703125" style="156" customWidth="1"/>
    <col min="2821" max="2821" width="17.42578125" style="156" customWidth="1"/>
    <col min="2822" max="2822" width="16.28515625" style="156" customWidth="1"/>
    <col min="2823" max="3073" width="9.140625" style="156"/>
    <col min="3074" max="3074" width="6.42578125" style="156" customWidth="1"/>
    <col min="3075" max="3075" width="75.42578125" style="156" customWidth="1"/>
    <col min="3076" max="3076" width="19.5703125" style="156" customWidth="1"/>
    <col min="3077" max="3077" width="17.42578125" style="156" customWidth="1"/>
    <col min="3078" max="3078" width="16.28515625" style="156" customWidth="1"/>
    <col min="3079" max="3329" width="9.140625" style="156"/>
    <col min="3330" max="3330" width="6.42578125" style="156" customWidth="1"/>
    <col min="3331" max="3331" width="75.42578125" style="156" customWidth="1"/>
    <col min="3332" max="3332" width="19.5703125" style="156" customWidth="1"/>
    <col min="3333" max="3333" width="17.42578125" style="156" customWidth="1"/>
    <col min="3334" max="3334" width="16.28515625" style="156" customWidth="1"/>
    <col min="3335" max="3585" width="9.140625" style="156"/>
    <col min="3586" max="3586" width="6.42578125" style="156" customWidth="1"/>
    <col min="3587" max="3587" width="75.42578125" style="156" customWidth="1"/>
    <col min="3588" max="3588" width="19.5703125" style="156" customWidth="1"/>
    <col min="3589" max="3589" width="17.42578125" style="156" customWidth="1"/>
    <col min="3590" max="3590" width="16.28515625" style="156" customWidth="1"/>
    <col min="3591" max="3841" width="9.140625" style="156"/>
    <col min="3842" max="3842" width="6.42578125" style="156" customWidth="1"/>
    <col min="3843" max="3843" width="75.42578125" style="156" customWidth="1"/>
    <col min="3844" max="3844" width="19.5703125" style="156" customWidth="1"/>
    <col min="3845" max="3845" width="17.42578125" style="156" customWidth="1"/>
    <col min="3846" max="3846" width="16.28515625" style="156" customWidth="1"/>
    <col min="3847" max="4097" width="9.140625" style="156"/>
    <col min="4098" max="4098" width="6.42578125" style="156" customWidth="1"/>
    <col min="4099" max="4099" width="75.42578125" style="156" customWidth="1"/>
    <col min="4100" max="4100" width="19.5703125" style="156" customWidth="1"/>
    <col min="4101" max="4101" width="17.42578125" style="156" customWidth="1"/>
    <col min="4102" max="4102" width="16.28515625" style="156" customWidth="1"/>
    <col min="4103" max="4353" width="9.140625" style="156"/>
    <col min="4354" max="4354" width="6.42578125" style="156" customWidth="1"/>
    <col min="4355" max="4355" width="75.42578125" style="156" customWidth="1"/>
    <col min="4356" max="4356" width="19.5703125" style="156" customWidth="1"/>
    <col min="4357" max="4357" width="17.42578125" style="156" customWidth="1"/>
    <col min="4358" max="4358" width="16.28515625" style="156" customWidth="1"/>
    <col min="4359" max="4609" width="9.140625" style="156"/>
    <col min="4610" max="4610" width="6.42578125" style="156" customWidth="1"/>
    <col min="4611" max="4611" width="75.42578125" style="156" customWidth="1"/>
    <col min="4612" max="4612" width="19.5703125" style="156" customWidth="1"/>
    <col min="4613" max="4613" width="17.42578125" style="156" customWidth="1"/>
    <col min="4614" max="4614" width="16.28515625" style="156" customWidth="1"/>
    <col min="4615" max="4865" width="9.140625" style="156"/>
    <col min="4866" max="4866" width="6.42578125" style="156" customWidth="1"/>
    <col min="4867" max="4867" width="75.42578125" style="156" customWidth="1"/>
    <col min="4868" max="4868" width="19.5703125" style="156" customWidth="1"/>
    <col min="4869" max="4869" width="17.42578125" style="156" customWidth="1"/>
    <col min="4870" max="4870" width="16.28515625" style="156" customWidth="1"/>
    <col min="4871" max="5121" width="9.140625" style="156"/>
    <col min="5122" max="5122" width="6.42578125" style="156" customWidth="1"/>
    <col min="5123" max="5123" width="75.42578125" style="156" customWidth="1"/>
    <col min="5124" max="5124" width="19.5703125" style="156" customWidth="1"/>
    <col min="5125" max="5125" width="17.42578125" style="156" customWidth="1"/>
    <col min="5126" max="5126" width="16.28515625" style="156" customWidth="1"/>
    <col min="5127" max="5377" width="9.140625" style="156"/>
    <col min="5378" max="5378" width="6.42578125" style="156" customWidth="1"/>
    <col min="5379" max="5379" width="75.42578125" style="156" customWidth="1"/>
    <col min="5380" max="5380" width="19.5703125" style="156" customWidth="1"/>
    <col min="5381" max="5381" width="17.42578125" style="156" customWidth="1"/>
    <col min="5382" max="5382" width="16.28515625" style="156" customWidth="1"/>
    <col min="5383" max="5633" width="9.140625" style="156"/>
    <col min="5634" max="5634" width="6.42578125" style="156" customWidth="1"/>
    <col min="5635" max="5635" width="75.42578125" style="156" customWidth="1"/>
    <col min="5636" max="5636" width="19.5703125" style="156" customWidth="1"/>
    <col min="5637" max="5637" width="17.42578125" style="156" customWidth="1"/>
    <col min="5638" max="5638" width="16.28515625" style="156" customWidth="1"/>
    <col min="5639" max="5889" width="9.140625" style="156"/>
    <col min="5890" max="5890" width="6.42578125" style="156" customWidth="1"/>
    <col min="5891" max="5891" width="75.42578125" style="156" customWidth="1"/>
    <col min="5892" max="5892" width="19.5703125" style="156" customWidth="1"/>
    <col min="5893" max="5893" width="17.42578125" style="156" customWidth="1"/>
    <col min="5894" max="5894" width="16.28515625" style="156" customWidth="1"/>
    <col min="5895" max="6145" width="9.140625" style="156"/>
    <col min="6146" max="6146" width="6.42578125" style="156" customWidth="1"/>
    <col min="6147" max="6147" width="75.42578125" style="156" customWidth="1"/>
    <col min="6148" max="6148" width="19.5703125" style="156" customWidth="1"/>
    <col min="6149" max="6149" width="17.42578125" style="156" customWidth="1"/>
    <col min="6150" max="6150" width="16.28515625" style="156" customWidth="1"/>
    <col min="6151" max="6401" width="9.140625" style="156"/>
    <col min="6402" max="6402" width="6.42578125" style="156" customWidth="1"/>
    <col min="6403" max="6403" width="75.42578125" style="156" customWidth="1"/>
    <col min="6404" max="6404" width="19.5703125" style="156" customWidth="1"/>
    <col min="6405" max="6405" width="17.42578125" style="156" customWidth="1"/>
    <col min="6406" max="6406" width="16.28515625" style="156" customWidth="1"/>
    <col min="6407" max="6657" width="9.140625" style="156"/>
    <col min="6658" max="6658" width="6.42578125" style="156" customWidth="1"/>
    <col min="6659" max="6659" width="75.42578125" style="156" customWidth="1"/>
    <col min="6660" max="6660" width="19.5703125" style="156" customWidth="1"/>
    <col min="6661" max="6661" width="17.42578125" style="156" customWidth="1"/>
    <col min="6662" max="6662" width="16.28515625" style="156" customWidth="1"/>
    <col min="6663" max="6913" width="9.140625" style="156"/>
    <col min="6914" max="6914" width="6.42578125" style="156" customWidth="1"/>
    <col min="6915" max="6915" width="75.42578125" style="156" customWidth="1"/>
    <col min="6916" max="6916" width="19.5703125" style="156" customWidth="1"/>
    <col min="6917" max="6917" width="17.42578125" style="156" customWidth="1"/>
    <col min="6918" max="6918" width="16.28515625" style="156" customWidth="1"/>
    <col min="6919" max="7169" width="9.140625" style="156"/>
    <col min="7170" max="7170" width="6.42578125" style="156" customWidth="1"/>
    <col min="7171" max="7171" width="75.42578125" style="156" customWidth="1"/>
    <col min="7172" max="7172" width="19.5703125" style="156" customWidth="1"/>
    <col min="7173" max="7173" width="17.42578125" style="156" customWidth="1"/>
    <col min="7174" max="7174" width="16.28515625" style="156" customWidth="1"/>
    <col min="7175" max="7425" width="9.140625" style="156"/>
    <col min="7426" max="7426" width="6.42578125" style="156" customWidth="1"/>
    <col min="7427" max="7427" width="75.42578125" style="156" customWidth="1"/>
    <col min="7428" max="7428" width="19.5703125" style="156" customWidth="1"/>
    <col min="7429" max="7429" width="17.42578125" style="156" customWidth="1"/>
    <col min="7430" max="7430" width="16.28515625" style="156" customWidth="1"/>
    <col min="7431" max="7681" width="9.140625" style="156"/>
    <col min="7682" max="7682" width="6.42578125" style="156" customWidth="1"/>
    <col min="7683" max="7683" width="75.42578125" style="156" customWidth="1"/>
    <col min="7684" max="7684" width="19.5703125" style="156" customWidth="1"/>
    <col min="7685" max="7685" width="17.42578125" style="156" customWidth="1"/>
    <col min="7686" max="7686" width="16.28515625" style="156" customWidth="1"/>
    <col min="7687" max="7937" width="9.140625" style="156"/>
    <col min="7938" max="7938" width="6.42578125" style="156" customWidth="1"/>
    <col min="7939" max="7939" width="75.42578125" style="156" customWidth="1"/>
    <col min="7940" max="7940" width="19.5703125" style="156" customWidth="1"/>
    <col min="7941" max="7941" width="17.42578125" style="156" customWidth="1"/>
    <col min="7942" max="7942" width="16.28515625" style="156" customWidth="1"/>
    <col min="7943" max="8193" width="9.140625" style="156"/>
    <col min="8194" max="8194" width="6.42578125" style="156" customWidth="1"/>
    <col min="8195" max="8195" width="75.42578125" style="156" customWidth="1"/>
    <col min="8196" max="8196" width="19.5703125" style="156" customWidth="1"/>
    <col min="8197" max="8197" width="17.42578125" style="156" customWidth="1"/>
    <col min="8198" max="8198" width="16.28515625" style="156" customWidth="1"/>
    <col min="8199" max="8449" width="9.140625" style="156"/>
    <col min="8450" max="8450" width="6.42578125" style="156" customWidth="1"/>
    <col min="8451" max="8451" width="75.42578125" style="156" customWidth="1"/>
    <col min="8452" max="8452" width="19.5703125" style="156" customWidth="1"/>
    <col min="8453" max="8453" width="17.42578125" style="156" customWidth="1"/>
    <col min="8454" max="8454" width="16.28515625" style="156" customWidth="1"/>
    <col min="8455" max="8705" width="9.140625" style="156"/>
    <col min="8706" max="8706" width="6.42578125" style="156" customWidth="1"/>
    <col min="8707" max="8707" width="75.42578125" style="156" customWidth="1"/>
    <col min="8708" max="8708" width="19.5703125" style="156" customWidth="1"/>
    <col min="8709" max="8709" width="17.42578125" style="156" customWidth="1"/>
    <col min="8710" max="8710" width="16.28515625" style="156" customWidth="1"/>
    <col min="8711" max="8961" width="9.140625" style="156"/>
    <col min="8962" max="8962" width="6.42578125" style="156" customWidth="1"/>
    <col min="8963" max="8963" width="75.42578125" style="156" customWidth="1"/>
    <col min="8964" max="8964" width="19.5703125" style="156" customWidth="1"/>
    <col min="8965" max="8965" width="17.42578125" style="156" customWidth="1"/>
    <col min="8966" max="8966" width="16.28515625" style="156" customWidth="1"/>
    <col min="8967" max="9217" width="9.140625" style="156"/>
    <col min="9218" max="9218" width="6.42578125" style="156" customWidth="1"/>
    <col min="9219" max="9219" width="75.42578125" style="156" customWidth="1"/>
    <col min="9220" max="9220" width="19.5703125" style="156" customWidth="1"/>
    <col min="9221" max="9221" width="17.42578125" style="156" customWidth="1"/>
    <col min="9222" max="9222" width="16.28515625" style="156" customWidth="1"/>
    <col min="9223" max="9473" width="9.140625" style="156"/>
    <col min="9474" max="9474" width="6.42578125" style="156" customWidth="1"/>
    <col min="9475" max="9475" width="75.42578125" style="156" customWidth="1"/>
    <col min="9476" max="9476" width="19.5703125" style="156" customWidth="1"/>
    <col min="9477" max="9477" width="17.42578125" style="156" customWidth="1"/>
    <col min="9478" max="9478" width="16.28515625" style="156" customWidth="1"/>
    <col min="9479" max="9729" width="9.140625" style="156"/>
    <col min="9730" max="9730" width="6.42578125" style="156" customWidth="1"/>
    <col min="9731" max="9731" width="75.42578125" style="156" customWidth="1"/>
    <col min="9732" max="9732" width="19.5703125" style="156" customWidth="1"/>
    <col min="9733" max="9733" width="17.42578125" style="156" customWidth="1"/>
    <col min="9734" max="9734" width="16.28515625" style="156" customWidth="1"/>
    <col min="9735" max="9985" width="9.140625" style="156"/>
    <col min="9986" max="9986" width="6.42578125" style="156" customWidth="1"/>
    <col min="9987" max="9987" width="75.42578125" style="156" customWidth="1"/>
    <col min="9988" max="9988" width="19.5703125" style="156" customWidth="1"/>
    <col min="9989" max="9989" width="17.42578125" style="156" customWidth="1"/>
    <col min="9990" max="9990" width="16.28515625" style="156" customWidth="1"/>
    <col min="9991" max="10241" width="9.140625" style="156"/>
    <col min="10242" max="10242" width="6.42578125" style="156" customWidth="1"/>
    <col min="10243" max="10243" width="75.42578125" style="156" customWidth="1"/>
    <col min="10244" max="10244" width="19.5703125" style="156" customWidth="1"/>
    <col min="10245" max="10245" width="17.42578125" style="156" customWidth="1"/>
    <col min="10246" max="10246" width="16.28515625" style="156" customWidth="1"/>
    <col min="10247" max="10497" width="9.140625" style="156"/>
    <col min="10498" max="10498" width="6.42578125" style="156" customWidth="1"/>
    <col min="10499" max="10499" width="75.42578125" style="156" customWidth="1"/>
    <col min="10500" max="10500" width="19.5703125" style="156" customWidth="1"/>
    <col min="10501" max="10501" width="17.42578125" style="156" customWidth="1"/>
    <col min="10502" max="10502" width="16.28515625" style="156" customWidth="1"/>
    <col min="10503" max="10753" width="9.140625" style="156"/>
    <col min="10754" max="10754" width="6.42578125" style="156" customWidth="1"/>
    <col min="10755" max="10755" width="75.42578125" style="156" customWidth="1"/>
    <col min="10756" max="10756" width="19.5703125" style="156" customWidth="1"/>
    <col min="10757" max="10757" width="17.42578125" style="156" customWidth="1"/>
    <col min="10758" max="10758" width="16.28515625" style="156" customWidth="1"/>
    <col min="10759" max="11009" width="9.140625" style="156"/>
    <col min="11010" max="11010" width="6.42578125" style="156" customWidth="1"/>
    <col min="11011" max="11011" width="75.42578125" style="156" customWidth="1"/>
    <col min="11012" max="11012" width="19.5703125" style="156" customWidth="1"/>
    <col min="11013" max="11013" width="17.42578125" style="156" customWidth="1"/>
    <col min="11014" max="11014" width="16.28515625" style="156" customWidth="1"/>
    <col min="11015" max="11265" width="9.140625" style="156"/>
    <col min="11266" max="11266" width="6.42578125" style="156" customWidth="1"/>
    <col min="11267" max="11267" width="75.42578125" style="156" customWidth="1"/>
    <col min="11268" max="11268" width="19.5703125" style="156" customWidth="1"/>
    <col min="11269" max="11269" width="17.42578125" style="156" customWidth="1"/>
    <col min="11270" max="11270" width="16.28515625" style="156" customWidth="1"/>
    <col min="11271" max="11521" width="9.140625" style="156"/>
    <col min="11522" max="11522" width="6.42578125" style="156" customWidth="1"/>
    <col min="11523" max="11523" width="75.42578125" style="156" customWidth="1"/>
    <col min="11524" max="11524" width="19.5703125" style="156" customWidth="1"/>
    <col min="11525" max="11525" width="17.42578125" style="156" customWidth="1"/>
    <col min="11526" max="11526" width="16.28515625" style="156" customWidth="1"/>
    <col min="11527" max="11777" width="9.140625" style="156"/>
    <col min="11778" max="11778" width="6.42578125" style="156" customWidth="1"/>
    <col min="11779" max="11779" width="75.42578125" style="156" customWidth="1"/>
    <col min="11780" max="11780" width="19.5703125" style="156" customWidth="1"/>
    <col min="11781" max="11781" width="17.42578125" style="156" customWidth="1"/>
    <col min="11782" max="11782" width="16.28515625" style="156" customWidth="1"/>
    <col min="11783" max="12033" width="9.140625" style="156"/>
    <col min="12034" max="12034" width="6.42578125" style="156" customWidth="1"/>
    <col min="12035" max="12035" width="75.42578125" style="156" customWidth="1"/>
    <col min="12036" max="12036" width="19.5703125" style="156" customWidth="1"/>
    <col min="12037" max="12037" width="17.42578125" style="156" customWidth="1"/>
    <col min="12038" max="12038" width="16.28515625" style="156" customWidth="1"/>
    <col min="12039" max="12289" width="9.140625" style="156"/>
    <col min="12290" max="12290" width="6.42578125" style="156" customWidth="1"/>
    <col min="12291" max="12291" width="75.42578125" style="156" customWidth="1"/>
    <col min="12292" max="12292" width="19.5703125" style="156" customWidth="1"/>
    <col min="12293" max="12293" width="17.42578125" style="156" customWidth="1"/>
    <col min="12294" max="12294" width="16.28515625" style="156" customWidth="1"/>
    <col min="12295" max="12545" width="9.140625" style="156"/>
    <col min="12546" max="12546" width="6.42578125" style="156" customWidth="1"/>
    <col min="12547" max="12547" width="75.42578125" style="156" customWidth="1"/>
    <col min="12548" max="12548" width="19.5703125" style="156" customWidth="1"/>
    <col min="12549" max="12549" width="17.42578125" style="156" customWidth="1"/>
    <col min="12550" max="12550" width="16.28515625" style="156" customWidth="1"/>
    <col min="12551" max="12801" width="9.140625" style="156"/>
    <col min="12802" max="12802" width="6.42578125" style="156" customWidth="1"/>
    <col min="12803" max="12803" width="75.42578125" style="156" customWidth="1"/>
    <col min="12804" max="12804" width="19.5703125" style="156" customWidth="1"/>
    <col min="12805" max="12805" width="17.42578125" style="156" customWidth="1"/>
    <col min="12806" max="12806" width="16.28515625" style="156" customWidth="1"/>
    <col min="12807" max="13057" width="9.140625" style="156"/>
    <col min="13058" max="13058" width="6.42578125" style="156" customWidth="1"/>
    <col min="13059" max="13059" width="75.42578125" style="156" customWidth="1"/>
    <col min="13060" max="13060" width="19.5703125" style="156" customWidth="1"/>
    <col min="13061" max="13061" width="17.42578125" style="156" customWidth="1"/>
    <col min="13062" max="13062" width="16.28515625" style="156" customWidth="1"/>
    <col min="13063" max="13313" width="9.140625" style="156"/>
    <col min="13314" max="13314" width="6.42578125" style="156" customWidth="1"/>
    <col min="13315" max="13315" width="75.42578125" style="156" customWidth="1"/>
    <col min="13316" max="13316" width="19.5703125" style="156" customWidth="1"/>
    <col min="13317" max="13317" width="17.42578125" style="156" customWidth="1"/>
    <col min="13318" max="13318" width="16.28515625" style="156" customWidth="1"/>
    <col min="13319" max="13569" width="9.140625" style="156"/>
    <col min="13570" max="13570" width="6.42578125" style="156" customWidth="1"/>
    <col min="13571" max="13571" width="75.42578125" style="156" customWidth="1"/>
    <col min="13572" max="13572" width="19.5703125" style="156" customWidth="1"/>
    <col min="13573" max="13573" width="17.42578125" style="156" customWidth="1"/>
    <col min="13574" max="13574" width="16.28515625" style="156" customWidth="1"/>
    <col min="13575" max="13825" width="9.140625" style="156"/>
    <col min="13826" max="13826" width="6.42578125" style="156" customWidth="1"/>
    <col min="13827" max="13827" width="75.42578125" style="156" customWidth="1"/>
    <col min="13828" max="13828" width="19.5703125" style="156" customWidth="1"/>
    <col min="13829" max="13829" width="17.42578125" style="156" customWidth="1"/>
    <col min="13830" max="13830" width="16.28515625" style="156" customWidth="1"/>
    <col min="13831" max="14081" width="9.140625" style="156"/>
    <col min="14082" max="14082" width="6.42578125" style="156" customWidth="1"/>
    <col min="14083" max="14083" width="75.42578125" style="156" customWidth="1"/>
    <col min="14084" max="14084" width="19.5703125" style="156" customWidth="1"/>
    <col min="14085" max="14085" width="17.42578125" style="156" customWidth="1"/>
    <col min="14086" max="14086" width="16.28515625" style="156" customWidth="1"/>
    <col min="14087" max="14337" width="9.140625" style="156"/>
    <col min="14338" max="14338" width="6.42578125" style="156" customWidth="1"/>
    <col min="14339" max="14339" width="75.42578125" style="156" customWidth="1"/>
    <col min="14340" max="14340" width="19.5703125" style="156" customWidth="1"/>
    <col min="14341" max="14341" width="17.42578125" style="156" customWidth="1"/>
    <col min="14342" max="14342" width="16.28515625" style="156" customWidth="1"/>
    <col min="14343" max="14593" width="9.140625" style="156"/>
    <col min="14594" max="14594" width="6.42578125" style="156" customWidth="1"/>
    <col min="14595" max="14595" width="75.42578125" style="156" customWidth="1"/>
    <col min="14596" max="14596" width="19.5703125" style="156" customWidth="1"/>
    <col min="14597" max="14597" width="17.42578125" style="156" customWidth="1"/>
    <col min="14598" max="14598" width="16.28515625" style="156" customWidth="1"/>
    <col min="14599" max="14849" width="9.140625" style="156"/>
    <col min="14850" max="14850" width="6.42578125" style="156" customWidth="1"/>
    <col min="14851" max="14851" width="75.42578125" style="156" customWidth="1"/>
    <col min="14852" max="14852" width="19.5703125" style="156" customWidth="1"/>
    <col min="14853" max="14853" width="17.42578125" style="156" customWidth="1"/>
    <col min="14854" max="14854" width="16.28515625" style="156" customWidth="1"/>
    <col min="14855" max="15105" width="9.140625" style="156"/>
    <col min="15106" max="15106" width="6.42578125" style="156" customWidth="1"/>
    <col min="15107" max="15107" width="75.42578125" style="156" customWidth="1"/>
    <col min="15108" max="15108" width="19.5703125" style="156" customWidth="1"/>
    <col min="15109" max="15109" width="17.42578125" style="156" customWidth="1"/>
    <col min="15110" max="15110" width="16.28515625" style="156" customWidth="1"/>
    <col min="15111" max="15361" width="9.140625" style="156"/>
    <col min="15362" max="15362" width="6.42578125" style="156" customWidth="1"/>
    <col min="15363" max="15363" width="75.42578125" style="156" customWidth="1"/>
    <col min="15364" max="15364" width="19.5703125" style="156" customWidth="1"/>
    <col min="15365" max="15365" width="17.42578125" style="156" customWidth="1"/>
    <col min="15366" max="15366" width="16.28515625" style="156" customWidth="1"/>
    <col min="15367" max="15617" width="9.140625" style="156"/>
    <col min="15618" max="15618" width="6.42578125" style="156" customWidth="1"/>
    <col min="15619" max="15619" width="75.42578125" style="156" customWidth="1"/>
    <col min="15620" max="15620" width="19.5703125" style="156" customWidth="1"/>
    <col min="15621" max="15621" width="17.42578125" style="156" customWidth="1"/>
    <col min="15622" max="15622" width="16.28515625" style="156" customWidth="1"/>
    <col min="15623" max="15873" width="9.140625" style="156"/>
    <col min="15874" max="15874" width="6.42578125" style="156" customWidth="1"/>
    <col min="15875" max="15875" width="75.42578125" style="156" customWidth="1"/>
    <col min="15876" max="15876" width="19.5703125" style="156" customWidth="1"/>
    <col min="15877" max="15877" width="17.42578125" style="156" customWidth="1"/>
    <col min="15878" max="15878" width="16.28515625" style="156" customWidth="1"/>
    <col min="15879" max="16129" width="9.140625" style="156"/>
    <col min="16130" max="16130" width="6.42578125" style="156" customWidth="1"/>
    <col min="16131" max="16131" width="75.42578125" style="156" customWidth="1"/>
    <col min="16132" max="16132" width="19.5703125" style="156" customWidth="1"/>
    <col min="16133" max="16133" width="17.42578125" style="156" customWidth="1"/>
    <col min="16134" max="16134" width="16.28515625" style="156" customWidth="1"/>
    <col min="16135" max="16384" width="9.140625" style="156"/>
  </cols>
  <sheetData>
    <row r="1" spans="2:8" ht="18" customHeight="1">
      <c r="B1" s="2333"/>
      <c r="C1" s="2333"/>
      <c r="D1" s="2333"/>
      <c r="E1" s="2333"/>
      <c r="F1" s="2333"/>
      <c r="G1" s="2333"/>
      <c r="H1" s="2333"/>
    </row>
    <row r="2" spans="2:8" ht="3.75" customHeight="1"/>
    <row r="3" spans="2:8" ht="16.5" customHeight="1">
      <c r="B3" s="1382" t="s">
        <v>1077</v>
      </c>
      <c r="C3" s="1382"/>
      <c r="D3" s="1382"/>
      <c r="E3" s="1382" t="s">
        <v>2288</v>
      </c>
      <c r="F3" s="1382"/>
    </row>
    <row r="4" spans="2:8" ht="18" customHeight="1">
      <c r="B4" s="1382" t="s">
        <v>429</v>
      </c>
      <c r="C4" s="1382"/>
      <c r="D4" s="1382"/>
      <c r="E4" s="1382"/>
    </row>
    <row r="5" spans="2:8" ht="18" hidden="1">
      <c r="B5" s="1383" t="s">
        <v>261</v>
      </c>
      <c r="C5" s="1383" t="s">
        <v>1078</v>
      </c>
      <c r="D5" s="1383" t="s">
        <v>458</v>
      </c>
      <c r="E5" s="1383" t="s">
        <v>459</v>
      </c>
      <c r="F5" s="1383" t="s">
        <v>1059</v>
      </c>
    </row>
    <row r="6" spans="2:8" ht="18" hidden="1">
      <c r="B6" s="1383" t="s">
        <v>137</v>
      </c>
      <c r="C6" s="1383" t="s">
        <v>1079</v>
      </c>
      <c r="D6" s="1383"/>
      <c r="E6" s="1383"/>
      <c r="F6" s="1383"/>
    </row>
    <row r="7" spans="2:8" ht="54" hidden="1">
      <c r="B7" s="1384">
        <v>1</v>
      </c>
      <c r="C7" s="1385" t="s">
        <v>1080</v>
      </c>
      <c r="D7" s="1383"/>
      <c r="E7" s="1383"/>
      <c r="F7" s="1383"/>
    </row>
    <row r="8" spans="2:8" ht="36" hidden="1">
      <c r="B8" s="1384">
        <v>2</v>
      </c>
      <c r="C8" s="1386" t="s">
        <v>1081</v>
      </c>
      <c r="D8" s="1383"/>
      <c r="E8" s="1383"/>
      <c r="F8" s="1383"/>
    </row>
    <row r="9" spans="2:8" ht="36" hidden="1">
      <c r="B9" s="1384">
        <v>3</v>
      </c>
      <c r="C9" s="1386" t="s">
        <v>1082</v>
      </c>
      <c r="D9" s="1383"/>
      <c r="E9" s="1383"/>
      <c r="F9" s="1383"/>
    </row>
    <row r="10" spans="2:8" ht="18" hidden="1">
      <c r="B10" s="1384">
        <v>4</v>
      </c>
      <c r="C10" s="1386" t="s">
        <v>430</v>
      </c>
      <c r="D10" s="1383"/>
      <c r="E10" s="1383"/>
      <c r="F10" s="1383"/>
    </row>
    <row r="11" spans="2:8" ht="36" hidden="1">
      <c r="B11" s="1384">
        <v>5</v>
      </c>
      <c r="C11" s="1386" t="s">
        <v>1083</v>
      </c>
      <c r="D11" s="1383"/>
      <c r="E11" s="1383"/>
      <c r="F11" s="1383"/>
    </row>
    <row r="12" spans="2:8" ht="18" hidden="1">
      <c r="B12" s="1383"/>
      <c r="C12" s="1383"/>
      <c r="D12" s="1383"/>
      <c r="E12" s="1383"/>
      <c r="F12" s="1383"/>
    </row>
    <row r="13" spans="2:8" hidden="1"/>
    <row r="14" spans="2:8" ht="3.75" customHeight="1"/>
    <row r="15" spans="2:8" ht="18">
      <c r="B15" s="1387" t="s">
        <v>261</v>
      </c>
      <c r="C15" s="1387" t="s">
        <v>1078</v>
      </c>
      <c r="D15" s="1388" t="s">
        <v>458</v>
      </c>
      <c r="E15" s="1388" t="s">
        <v>459</v>
      </c>
      <c r="F15" s="1388" t="s">
        <v>1059</v>
      </c>
    </row>
    <row r="16" spans="2:8" ht="18">
      <c r="B16" s="1384" t="s">
        <v>142</v>
      </c>
      <c r="C16" s="1383" t="s">
        <v>1084</v>
      </c>
      <c r="D16" s="1389"/>
      <c r="E16" s="1389" t="s">
        <v>2710</v>
      </c>
      <c r="F16" s="1389"/>
    </row>
    <row r="17" spans="2:14" ht="49.5">
      <c r="B17" s="1384">
        <v>1</v>
      </c>
      <c r="C17" s="1390" t="s">
        <v>1080</v>
      </c>
      <c r="D17" s="2334"/>
      <c r="E17" s="2335"/>
      <c r="F17" s="2336"/>
    </row>
    <row r="18" spans="2:14" ht="33">
      <c r="B18" s="1384">
        <v>2</v>
      </c>
      <c r="C18" s="1390" t="s">
        <v>1081</v>
      </c>
      <c r="D18" s="2337"/>
      <c r="E18" s="2338"/>
      <c r="F18" s="2339"/>
    </row>
    <row r="19" spans="2:14" ht="38.25" customHeight="1">
      <c r="B19" s="1384">
        <v>3</v>
      </c>
      <c r="C19" s="1390" t="s">
        <v>1082</v>
      </c>
      <c r="D19" s="2337"/>
      <c r="E19" s="2338"/>
      <c r="F19" s="2339"/>
      <c r="M19" s="1391">
        <v>43556</v>
      </c>
      <c r="N19" s="156">
        <v>4.0999999999999996</v>
      </c>
    </row>
    <row r="20" spans="2:14" ht="17.25" customHeight="1">
      <c r="B20" s="1384">
        <v>4</v>
      </c>
      <c r="C20" s="1390" t="s">
        <v>431</v>
      </c>
      <c r="D20" s="2337"/>
      <c r="E20" s="2338"/>
      <c r="F20" s="2339"/>
      <c r="M20" s="1391">
        <v>43586</v>
      </c>
      <c r="N20" s="156">
        <v>3.96</v>
      </c>
    </row>
    <row r="21" spans="2:14" ht="18">
      <c r="B21" s="1384">
        <v>5</v>
      </c>
      <c r="C21" s="1390" t="s">
        <v>1085</v>
      </c>
      <c r="D21" s="2340"/>
      <c r="E21" s="2341"/>
      <c r="F21" s="2342"/>
      <c r="H21" s="156" t="s">
        <v>1086</v>
      </c>
      <c r="M21" s="1391">
        <v>43617</v>
      </c>
      <c r="N21" s="156">
        <v>2.82</v>
      </c>
    </row>
    <row r="22" spans="2:14" ht="17.25" customHeight="1">
      <c r="B22" s="1382"/>
      <c r="C22" s="1382"/>
      <c r="M22" s="1391">
        <v>43647</v>
      </c>
      <c r="N22" s="156">
        <v>3.89</v>
      </c>
    </row>
    <row r="23" spans="2:14" ht="16.5">
      <c r="B23" s="2343" t="s">
        <v>183</v>
      </c>
      <c r="C23" s="2343" t="s">
        <v>1087</v>
      </c>
      <c r="D23" s="1389" t="s">
        <v>1088</v>
      </c>
      <c r="E23" s="1389" t="s">
        <v>459</v>
      </c>
      <c r="F23" s="1389" t="s">
        <v>1059</v>
      </c>
      <c r="M23" s="1391">
        <v>43678</v>
      </c>
      <c r="N23" s="156">
        <v>3.83</v>
      </c>
    </row>
    <row r="24" spans="2:14" ht="16.5">
      <c r="B24" s="2344"/>
      <c r="C24" s="2344"/>
      <c r="D24" s="1389" t="s">
        <v>134</v>
      </c>
      <c r="E24" s="1389" t="s">
        <v>2710</v>
      </c>
      <c r="F24" s="1389" t="s">
        <v>136</v>
      </c>
      <c r="M24" s="1391">
        <v>43709</v>
      </c>
      <c r="N24" s="156">
        <v>3.85</v>
      </c>
    </row>
    <row r="25" spans="2:14" ht="31.5">
      <c r="B25" s="1383"/>
      <c r="C25" s="415" t="s">
        <v>1089</v>
      </c>
      <c r="D25" s="2334"/>
      <c r="E25" s="2335"/>
      <c r="F25" s="2336"/>
      <c r="M25" s="1391">
        <v>43739</v>
      </c>
      <c r="N25" s="156">
        <v>3.83</v>
      </c>
    </row>
    <row r="26" spans="2:14" ht="18">
      <c r="B26" s="1392">
        <v>2</v>
      </c>
      <c r="C26" s="1393" t="s">
        <v>1090</v>
      </c>
      <c r="D26" s="2337"/>
      <c r="E26" s="2338"/>
      <c r="F26" s="2339"/>
      <c r="M26" s="1391">
        <v>43770</v>
      </c>
      <c r="N26" s="156">
        <v>3.86</v>
      </c>
    </row>
    <row r="27" spans="2:14" ht="33">
      <c r="B27" s="1392">
        <v>3</v>
      </c>
      <c r="C27" s="1393" t="s">
        <v>1091</v>
      </c>
      <c r="D27" s="2337"/>
      <c r="E27" s="2338"/>
      <c r="F27" s="2339"/>
      <c r="M27" s="1391">
        <v>43800</v>
      </c>
      <c r="N27" s="156">
        <v>3.78</v>
      </c>
    </row>
    <row r="28" spans="2:14" ht="18">
      <c r="B28" s="1383">
        <v>4</v>
      </c>
      <c r="C28" s="1389" t="s">
        <v>1092</v>
      </c>
      <c r="D28" s="2337"/>
      <c r="E28" s="2338"/>
      <c r="F28" s="2339"/>
      <c r="M28" s="1391">
        <v>43831</v>
      </c>
      <c r="N28" s="156">
        <v>3.69</v>
      </c>
    </row>
    <row r="29" spans="2:14" ht="18">
      <c r="B29" s="1383">
        <v>5</v>
      </c>
      <c r="C29" s="1394" t="s">
        <v>1093</v>
      </c>
      <c r="D29" s="2340"/>
      <c r="E29" s="2341"/>
      <c r="F29" s="2342"/>
      <c r="M29" s="1391">
        <v>43862</v>
      </c>
      <c r="N29" s="156">
        <v>3.66</v>
      </c>
    </row>
    <row r="30" spans="2:14" ht="16.5">
      <c r="C30" s="160"/>
      <c r="H30" s="1395"/>
      <c r="M30" s="1391">
        <v>43891</v>
      </c>
      <c r="N30" s="156">
        <v>3.66</v>
      </c>
    </row>
    <row r="31" spans="2:14" ht="48" customHeight="1">
      <c r="B31" s="1384" t="s">
        <v>184</v>
      </c>
      <c r="C31" s="1396" t="s">
        <v>1094</v>
      </c>
      <c r="D31" s="394" t="s">
        <v>1108</v>
      </c>
      <c r="E31" s="622" t="s">
        <v>2709</v>
      </c>
      <c r="F31" s="394" t="s">
        <v>1059</v>
      </c>
      <c r="M31" s="1391">
        <v>43922</v>
      </c>
      <c r="N31" s="156">
        <v>2.4500000000000002</v>
      </c>
    </row>
    <row r="32" spans="2:14" ht="66">
      <c r="B32" s="1384">
        <v>1</v>
      </c>
      <c r="C32" s="1393" t="s">
        <v>2290</v>
      </c>
      <c r="D32" s="1263">
        <v>34005484564</v>
      </c>
      <c r="E32" s="1263">
        <v>20253384061</v>
      </c>
      <c r="F32" s="237"/>
      <c r="H32" s="1397">
        <f>D32/1000000</f>
        <v>34005.484563999998</v>
      </c>
      <c r="I32" s="1397">
        <f>E32/1000000</f>
        <v>20253.384061000001</v>
      </c>
      <c r="M32" s="1391"/>
      <c r="N32" s="1397">
        <f>AVERAGE(N19:N31)</f>
        <v>3.6446153846153844</v>
      </c>
    </row>
    <row r="33" spans="2:13" ht="51.75" customHeight="1">
      <c r="B33" s="1384">
        <v>2</v>
      </c>
      <c r="C33" s="1394" t="s">
        <v>2291</v>
      </c>
      <c r="D33" s="1263">
        <v>33011026227</v>
      </c>
      <c r="E33" s="1263">
        <v>19705245504</v>
      </c>
      <c r="F33" s="237"/>
      <c r="H33" s="1397">
        <f t="shared" ref="H33:I34" si="0">D33/1000000</f>
        <v>33011.026227000002</v>
      </c>
      <c r="I33" s="1397">
        <f t="shared" si="0"/>
        <v>19705.245503999999</v>
      </c>
      <c r="M33" s="1391"/>
    </row>
    <row r="34" spans="2:13" ht="22.5" customHeight="1">
      <c r="B34" s="1384">
        <v>3</v>
      </c>
      <c r="C34" s="1396" t="s">
        <v>1095</v>
      </c>
      <c r="D34" s="1263">
        <f>D32-D33</f>
        <v>994458337</v>
      </c>
      <c r="E34" s="1263">
        <f>E32-E33</f>
        <v>548138557</v>
      </c>
      <c r="F34" s="237"/>
      <c r="H34" s="1397">
        <f t="shared" si="0"/>
        <v>994.45833700000003</v>
      </c>
      <c r="I34" s="1397">
        <f t="shared" si="0"/>
        <v>548.13855699999999</v>
      </c>
    </row>
    <row r="35" spans="2:13" ht="18">
      <c r="B35" s="1384">
        <v>4</v>
      </c>
      <c r="C35" s="1394" t="s">
        <v>1096</v>
      </c>
      <c r="D35" s="853">
        <f>D34/D32</f>
        <v>2.9244057238131112E-2</v>
      </c>
      <c r="E35" s="853">
        <f>E34/E32</f>
        <v>2.7064047931402133E-2</v>
      </c>
      <c r="F35" s="237"/>
      <c r="I35" s="1395"/>
    </row>
    <row r="36" spans="2:13" ht="18">
      <c r="B36" s="1398"/>
      <c r="C36" s="1399"/>
      <c r="D36" s="1400"/>
      <c r="E36" s="1400"/>
      <c r="F36" s="1398"/>
    </row>
    <row r="38" spans="2:13">
      <c r="I38" s="1397"/>
    </row>
    <row r="41" spans="2:13" ht="18">
      <c r="E41" s="2333" t="s">
        <v>1097</v>
      </c>
      <c r="F41" s="2333"/>
    </row>
  </sheetData>
  <mergeCells count="6">
    <mergeCell ref="E41:F41"/>
    <mergeCell ref="B1:H1"/>
    <mergeCell ref="D17:F21"/>
    <mergeCell ref="B23:B24"/>
    <mergeCell ref="C23:C24"/>
    <mergeCell ref="D25:F29"/>
  </mergeCells>
  <pageMargins left="0.70866141732283472" right="0.70866141732283472" top="0.74803149606299213" bottom="0.74803149606299213" header="0.31496062992125984" footer="0.31496062992125984"/>
  <pageSetup paperSize="9" scale="55"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10"/>
  <sheetViews>
    <sheetView view="pageBreakPreview" topLeftCell="A190" zoomScale="60" zoomScaleNormal="80" workbookViewId="0">
      <selection activeCell="I211" sqref="I211"/>
    </sheetView>
  </sheetViews>
  <sheetFormatPr defaultRowHeight="15"/>
  <cols>
    <col min="1" max="1" width="22" style="1401" customWidth="1"/>
    <col min="2" max="2" width="32.5703125" style="1401" customWidth="1"/>
    <col min="3" max="3" width="11" style="1401" customWidth="1"/>
    <col min="4" max="4" width="9" style="1401" customWidth="1"/>
    <col min="5" max="5" width="11" style="1401" customWidth="1"/>
    <col min="6" max="6" width="9" style="1401" customWidth="1"/>
    <col min="7" max="7" width="20.5703125" style="1401" customWidth="1"/>
    <col min="8" max="8" width="20.42578125" style="1401" customWidth="1"/>
    <col min="9" max="9" width="28" style="1401" customWidth="1"/>
    <col min="10" max="16384" width="9.140625" style="1401"/>
  </cols>
  <sheetData>
    <row r="1" spans="1:8" ht="15.75" thickBot="1">
      <c r="A1" s="2348" t="s">
        <v>1108</v>
      </c>
      <c r="B1" s="2349"/>
      <c r="C1" s="2349"/>
      <c r="D1" s="2349"/>
      <c r="E1" s="2349"/>
      <c r="F1" s="2349"/>
      <c r="G1" s="2349"/>
      <c r="H1" s="2350"/>
    </row>
    <row r="2" spans="1:8" ht="15.75" thickBot="1">
      <c r="A2" s="2351" t="s">
        <v>1696</v>
      </c>
      <c r="B2" s="2352"/>
      <c r="C2" s="2352"/>
      <c r="D2" s="2352"/>
      <c r="E2" s="2352"/>
      <c r="F2" s="2352"/>
      <c r="G2" s="2352"/>
      <c r="H2" s="2353"/>
    </row>
    <row r="3" spans="1:8">
      <c r="A3" s="2354" t="s">
        <v>1098</v>
      </c>
      <c r="B3" s="2355"/>
      <c r="C3" s="2355"/>
      <c r="D3" s="2355"/>
      <c r="E3" s="2355"/>
      <c r="F3" s="2355"/>
      <c r="G3" s="2355"/>
      <c r="H3" s="2356"/>
    </row>
    <row r="4" spans="1:8">
      <c r="A4" s="2357" t="s">
        <v>1099</v>
      </c>
      <c r="B4" s="2358"/>
      <c r="C4" s="2358"/>
      <c r="D4" s="2358"/>
      <c r="E4" s="2358"/>
      <c r="F4" s="2358"/>
      <c r="G4" s="2358"/>
      <c r="H4" s="2359"/>
    </row>
    <row r="5" spans="1:8">
      <c r="A5" s="2345" t="s">
        <v>456</v>
      </c>
      <c r="B5" s="2345" t="s">
        <v>434</v>
      </c>
      <c r="C5" s="2360" t="s">
        <v>435</v>
      </c>
      <c r="D5" s="2360"/>
      <c r="E5" s="2360"/>
      <c r="F5" s="2360"/>
      <c r="G5" s="2345" t="s">
        <v>1697</v>
      </c>
      <c r="H5" s="2345" t="s">
        <v>1100</v>
      </c>
    </row>
    <row r="6" spans="1:8">
      <c r="A6" s="2345"/>
      <c r="B6" s="2345"/>
      <c r="C6" s="2345" t="s">
        <v>1101</v>
      </c>
      <c r="D6" s="2345"/>
      <c r="E6" s="2345" t="s">
        <v>1102</v>
      </c>
      <c r="F6" s="2345"/>
      <c r="G6" s="2345"/>
      <c r="H6" s="2345"/>
    </row>
    <row r="7" spans="1:8" ht="30">
      <c r="A7" s="2345"/>
      <c r="B7" s="2345"/>
      <c r="C7" s="1530" t="s">
        <v>1103</v>
      </c>
      <c r="D7" s="1530" t="s">
        <v>1104</v>
      </c>
      <c r="E7" s="1530" t="s">
        <v>1105</v>
      </c>
      <c r="F7" s="1530" t="s">
        <v>1104</v>
      </c>
      <c r="G7" s="2345"/>
      <c r="H7" s="2345"/>
    </row>
    <row r="8" spans="1:8">
      <c r="A8" s="1531" t="s">
        <v>363</v>
      </c>
      <c r="B8" s="1429" t="s">
        <v>972</v>
      </c>
      <c r="C8" s="1532" t="s">
        <v>972</v>
      </c>
      <c r="D8" s="1532" t="s">
        <v>972</v>
      </c>
      <c r="E8" s="1532" t="s">
        <v>972</v>
      </c>
      <c r="F8" s="1532" t="s">
        <v>972</v>
      </c>
      <c r="G8" s="1532"/>
      <c r="H8" s="1532" t="s">
        <v>972</v>
      </c>
    </row>
    <row r="9" spans="1:8">
      <c r="A9" s="1531"/>
      <c r="B9" s="1429"/>
      <c r="C9" s="1429"/>
      <c r="D9" s="1429"/>
      <c r="E9" s="1429"/>
      <c r="F9" s="1429"/>
      <c r="G9" s="1429"/>
      <c r="H9" s="1429"/>
    </row>
    <row r="10" spans="1:8">
      <c r="A10" s="1533" t="s">
        <v>965</v>
      </c>
      <c r="B10" s="1429" t="s">
        <v>1421</v>
      </c>
      <c r="C10" s="1534">
        <v>0</v>
      </c>
      <c r="D10" s="1534">
        <v>0</v>
      </c>
      <c r="E10" s="1534">
        <v>0</v>
      </c>
      <c r="F10" s="1534">
        <v>0</v>
      </c>
      <c r="G10" s="1534">
        <v>23.244332</v>
      </c>
      <c r="H10" s="1535">
        <v>23.244332</v>
      </c>
    </row>
    <row r="11" spans="1:8">
      <c r="A11" s="1429" t="s">
        <v>965</v>
      </c>
      <c r="B11" s="1429" t="s">
        <v>1420</v>
      </c>
      <c r="C11" s="1534">
        <v>0</v>
      </c>
      <c r="D11" s="1534">
        <v>0</v>
      </c>
      <c r="E11" s="1534">
        <v>109.23676</v>
      </c>
      <c r="F11" s="1534">
        <v>0</v>
      </c>
      <c r="G11" s="1534">
        <v>0</v>
      </c>
      <c r="H11" s="1535">
        <v>109.23676</v>
      </c>
    </row>
    <row r="12" spans="1:8">
      <c r="A12" s="1429" t="s">
        <v>965</v>
      </c>
      <c r="B12" s="1429" t="s">
        <v>1422</v>
      </c>
      <c r="C12" s="1534">
        <v>0</v>
      </c>
      <c r="D12" s="1534">
        <v>0</v>
      </c>
      <c r="E12" s="1534">
        <v>42.767370999999997</v>
      </c>
      <c r="F12" s="1534">
        <v>0</v>
      </c>
      <c r="G12" s="1534">
        <v>0</v>
      </c>
      <c r="H12" s="1535">
        <v>42.767370999999997</v>
      </c>
    </row>
    <row r="13" spans="1:8">
      <c r="A13" s="1429" t="s">
        <v>965</v>
      </c>
      <c r="B13" s="1429" t="s">
        <v>1423</v>
      </c>
      <c r="C13" s="1534">
        <v>0</v>
      </c>
      <c r="D13" s="1534">
        <v>0</v>
      </c>
      <c r="E13" s="1534">
        <v>0</v>
      </c>
      <c r="F13" s="1534">
        <v>0</v>
      </c>
      <c r="G13" s="1534">
        <v>41.290460000000003</v>
      </c>
      <c r="H13" s="1535">
        <v>41.290460000000003</v>
      </c>
    </row>
    <row r="14" spans="1:8">
      <c r="A14" s="1429" t="s">
        <v>965</v>
      </c>
      <c r="B14" s="1429" t="s">
        <v>1424</v>
      </c>
      <c r="C14" s="1534">
        <v>0</v>
      </c>
      <c r="D14" s="1534">
        <v>0</v>
      </c>
      <c r="E14" s="1534">
        <v>0</v>
      </c>
      <c r="F14" s="1534">
        <v>0</v>
      </c>
      <c r="G14" s="1534">
        <v>24.960460000000001</v>
      </c>
      <c r="H14" s="1535">
        <v>24.960460000000001</v>
      </c>
    </row>
    <row r="15" spans="1:8">
      <c r="A15" s="1429" t="s">
        <v>965</v>
      </c>
      <c r="B15" s="1429" t="s">
        <v>1425</v>
      </c>
      <c r="C15" s="1534">
        <v>0</v>
      </c>
      <c r="D15" s="1534">
        <v>0</v>
      </c>
      <c r="E15" s="1534">
        <v>0</v>
      </c>
      <c r="F15" s="1534">
        <v>0</v>
      </c>
      <c r="G15" s="1534">
        <v>21.199729999999999</v>
      </c>
      <c r="H15" s="1535">
        <v>21.199729999999999</v>
      </c>
    </row>
    <row r="16" spans="1:8">
      <c r="A16" s="1429" t="s">
        <v>965</v>
      </c>
      <c r="B16" s="1429" t="s">
        <v>1427</v>
      </c>
      <c r="C16" s="1534">
        <v>0</v>
      </c>
      <c r="D16" s="1534">
        <v>0</v>
      </c>
      <c r="E16" s="1534">
        <v>0</v>
      </c>
      <c r="F16" s="1534">
        <v>0</v>
      </c>
      <c r="G16" s="1534">
        <v>8.5790539999999993</v>
      </c>
      <c r="H16" s="1535">
        <v>8.5790539999999993</v>
      </c>
    </row>
    <row r="17" spans="1:8">
      <c r="A17" s="1429" t="s">
        <v>965</v>
      </c>
      <c r="B17" s="1429" t="s">
        <v>1428</v>
      </c>
      <c r="C17" s="1534">
        <v>0</v>
      </c>
      <c r="D17" s="1534">
        <v>0</v>
      </c>
      <c r="E17" s="1534">
        <v>0</v>
      </c>
      <c r="F17" s="1534">
        <v>0</v>
      </c>
      <c r="G17" s="1534">
        <v>24.328050000000001</v>
      </c>
      <c r="H17" s="1535">
        <v>24.328050000000001</v>
      </c>
    </row>
    <row r="18" spans="1:8">
      <c r="A18" s="1429" t="s">
        <v>965</v>
      </c>
      <c r="B18" s="1429" t="s">
        <v>1476</v>
      </c>
      <c r="C18" s="1534">
        <v>0</v>
      </c>
      <c r="D18" s="1534">
        <v>0</v>
      </c>
      <c r="E18" s="1534">
        <v>0</v>
      </c>
      <c r="F18" s="1534">
        <v>0</v>
      </c>
      <c r="G18" s="1534">
        <v>75.513589999999994</v>
      </c>
      <c r="H18" s="1535">
        <v>75.513589999999994</v>
      </c>
    </row>
    <row r="19" spans="1:8">
      <c r="A19" s="1429" t="s">
        <v>965</v>
      </c>
      <c r="B19" s="1429" t="s">
        <v>1480</v>
      </c>
      <c r="C19" s="1534">
        <v>0</v>
      </c>
      <c r="D19" s="1534">
        <v>0</v>
      </c>
      <c r="E19" s="1534">
        <v>0</v>
      </c>
      <c r="F19" s="1534">
        <v>2.5249299999999999</v>
      </c>
      <c r="G19" s="1534">
        <v>0</v>
      </c>
      <c r="H19" s="1535">
        <v>2.5249299999999999</v>
      </c>
    </row>
    <row r="20" spans="1:8">
      <c r="A20" s="1429" t="s">
        <v>965</v>
      </c>
      <c r="B20" s="1429" t="s">
        <v>1430</v>
      </c>
      <c r="C20" s="1534">
        <v>0</v>
      </c>
      <c r="D20" s="1534">
        <v>0</v>
      </c>
      <c r="E20" s="1534">
        <v>0.31909300000000002</v>
      </c>
      <c r="F20" s="1534">
        <v>0</v>
      </c>
      <c r="G20" s="1534">
        <v>33.974471000000001</v>
      </c>
      <c r="H20" s="1535">
        <v>34.293564000000003</v>
      </c>
    </row>
    <row r="21" spans="1:8">
      <c r="A21" s="1429" t="s">
        <v>965</v>
      </c>
      <c r="B21" s="1429" t="s">
        <v>1431</v>
      </c>
      <c r="C21" s="1534">
        <v>0</v>
      </c>
      <c r="D21" s="1534">
        <v>0</v>
      </c>
      <c r="E21" s="1534">
        <v>2.2029999999999998</v>
      </c>
      <c r="F21" s="1534">
        <v>0</v>
      </c>
      <c r="G21" s="1534">
        <v>0</v>
      </c>
      <c r="H21" s="1535">
        <v>2.2029999999999998</v>
      </c>
    </row>
    <row r="22" spans="1:8">
      <c r="A22" s="1429" t="s">
        <v>965</v>
      </c>
      <c r="B22" s="1429" t="s">
        <v>1432</v>
      </c>
      <c r="C22" s="1534">
        <v>0</v>
      </c>
      <c r="D22" s="1534">
        <v>0</v>
      </c>
      <c r="E22" s="1534">
        <v>0.30026199999999997</v>
      </c>
      <c r="F22" s="1534">
        <v>0</v>
      </c>
      <c r="G22" s="1534">
        <v>0</v>
      </c>
      <c r="H22" s="1535">
        <v>0.30026199999999997</v>
      </c>
    </row>
    <row r="23" spans="1:8">
      <c r="A23" s="1429" t="s">
        <v>965</v>
      </c>
      <c r="B23" s="1429" t="s">
        <v>1433</v>
      </c>
      <c r="C23" s="1534">
        <v>0</v>
      </c>
      <c r="D23" s="1534">
        <v>0</v>
      </c>
      <c r="E23" s="1534">
        <v>0</v>
      </c>
      <c r="F23" s="1534">
        <v>0</v>
      </c>
      <c r="G23" s="1534">
        <v>50.973173000000003</v>
      </c>
      <c r="H23" s="1535">
        <v>50.973173000000003</v>
      </c>
    </row>
    <row r="24" spans="1:8">
      <c r="A24" s="1429" t="s">
        <v>965</v>
      </c>
      <c r="B24" s="1429" t="s">
        <v>1434</v>
      </c>
      <c r="C24" s="1534">
        <v>0</v>
      </c>
      <c r="D24" s="1534">
        <v>0</v>
      </c>
      <c r="E24" s="1534">
        <v>0</v>
      </c>
      <c r="F24" s="1534">
        <v>21.015940000000001</v>
      </c>
      <c r="G24" s="1534">
        <v>0</v>
      </c>
      <c r="H24" s="1535">
        <v>21.015940000000001</v>
      </c>
    </row>
    <row r="25" spans="1:8">
      <c r="A25" s="1429" t="s">
        <v>965</v>
      </c>
      <c r="B25" s="1429" t="s">
        <v>1435</v>
      </c>
      <c r="C25" s="1534">
        <v>0</v>
      </c>
      <c r="D25" s="1534">
        <v>0</v>
      </c>
      <c r="E25" s="1534">
        <v>48.059063000000002</v>
      </c>
      <c r="F25" s="1534">
        <v>0</v>
      </c>
      <c r="G25" s="1534">
        <v>31.256606999999999</v>
      </c>
      <c r="H25" s="1535">
        <v>79.315669999999997</v>
      </c>
    </row>
    <row r="26" spans="1:8">
      <c r="A26" s="1429" t="s">
        <v>965</v>
      </c>
      <c r="B26" s="1429" t="s">
        <v>1436</v>
      </c>
      <c r="C26" s="1534">
        <v>0</v>
      </c>
      <c r="D26" s="1534">
        <v>0</v>
      </c>
      <c r="E26" s="1534">
        <v>0</v>
      </c>
      <c r="F26" s="1534">
        <v>0</v>
      </c>
      <c r="G26" s="1534">
        <v>26.777570000000001</v>
      </c>
      <c r="H26" s="1535">
        <v>26.777570000000001</v>
      </c>
    </row>
    <row r="27" spans="1:8">
      <c r="A27" s="1429" t="s">
        <v>965</v>
      </c>
      <c r="B27" s="1429" t="s">
        <v>1506</v>
      </c>
      <c r="C27" s="1534">
        <v>0</v>
      </c>
      <c r="D27" s="1534">
        <v>14.838991</v>
      </c>
      <c r="E27" s="1534">
        <v>0</v>
      </c>
      <c r="F27" s="1534">
        <v>0</v>
      </c>
      <c r="G27" s="1534">
        <v>0</v>
      </c>
      <c r="H27" s="1535">
        <v>14.838991</v>
      </c>
    </row>
    <row r="28" spans="1:8">
      <c r="A28" s="1429" t="s">
        <v>965</v>
      </c>
      <c r="B28" s="1429" t="s">
        <v>1438</v>
      </c>
      <c r="C28" s="1534">
        <v>0</v>
      </c>
      <c r="D28" s="1534">
        <v>0</v>
      </c>
      <c r="E28" s="1534">
        <v>0</v>
      </c>
      <c r="F28" s="1534">
        <v>0</v>
      </c>
      <c r="G28" s="1534">
        <v>25.528765</v>
      </c>
      <c r="H28" s="1535">
        <v>25.528765</v>
      </c>
    </row>
    <row r="29" spans="1:8">
      <c r="A29" s="1429" t="s">
        <v>965</v>
      </c>
      <c r="B29" s="1429" t="s">
        <v>1439</v>
      </c>
      <c r="C29" s="1534">
        <v>0</v>
      </c>
      <c r="D29" s="1534">
        <v>0</v>
      </c>
      <c r="E29" s="1534">
        <v>0</v>
      </c>
      <c r="F29" s="1534">
        <v>0</v>
      </c>
      <c r="G29" s="1534">
        <v>31.098479999999999</v>
      </c>
      <c r="H29" s="1535">
        <v>31.098479999999999</v>
      </c>
    </row>
    <row r="30" spans="1:8">
      <c r="A30" s="1429" t="s">
        <v>965</v>
      </c>
      <c r="B30" s="1429" t="s">
        <v>1440</v>
      </c>
      <c r="C30" s="1534">
        <v>0</v>
      </c>
      <c r="D30" s="1534">
        <v>0</v>
      </c>
      <c r="E30" s="1534">
        <v>0</v>
      </c>
      <c r="F30" s="1534">
        <v>0</v>
      </c>
      <c r="G30" s="1534">
        <v>28.627400000000002</v>
      </c>
      <c r="H30" s="1535">
        <v>28.627400000000002</v>
      </c>
    </row>
    <row r="31" spans="1:8">
      <c r="A31" s="1429" t="s">
        <v>965</v>
      </c>
      <c r="B31" s="1429" t="s">
        <v>1441</v>
      </c>
      <c r="C31" s="1534">
        <v>366.39155799999997</v>
      </c>
      <c r="D31" s="1534">
        <v>0</v>
      </c>
      <c r="E31" s="1534">
        <v>0</v>
      </c>
      <c r="F31" s="1534">
        <v>0</v>
      </c>
      <c r="G31" s="1534">
        <v>0</v>
      </c>
      <c r="H31" s="1535">
        <v>366.39155799999997</v>
      </c>
    </row>
    <row r="32" spans="1:8">
      <c r="A32" s="1429" t="s">
        <v>965</v>
      </c>
      <c r="B32" s="1429" t="s">
        <v>1444</v>
      </c>
      <c r="C32" s="1534">
        <v>4.1499139999999999</v>
      </c>
      <c r="D32" s="1534">
        <v>3.5470579999999998</v>
      </c>
      <c r="E32" s="1534">
        <v>0</v>
      </c>
      <c r="F32" s="1534">
        <v>0</v>
      </c>
      <c r="G32" s="1534">
        <v>0</v>
      </c>
      <c r="H32" s="1535">
        <v>7.6969719999999997</v>
      </c>
    </row>
    <row r="33" spans="1:8">
      <c r="A33" s="1429" t="s">
        <v>965</v>
      </c>
      <c r="B33" s="1429" t="s">
        <v>1528</v>
      </c>
      <c r="C33" s="1534">
        <v>0</v>
      </c>
      <c r="D33" s="1534">
        <v>5.7414059999999996</v>
      </c>
      <c r="E33" s="1534">
        <v>0</v>
      </c>
      <c r="F33" s="1534">
        <v>0</v>
      </c>
      <c r="G33" s="1534">
        <v>0</v>
      </c>
      <c r="H33" s="1535">
        <v>5.7414059999999996</v>
      </c>
    </row>
    <row r="34" spans="1:8">
      <c r="A34" s="1429" t="s">
        <v>965</v>
      </c>
      <c r="B34" s="1429" t="s">
        <v>1445</v>
      </c>
      <c r="C34" s="1534">
        <v>140.46445600000001</v>
      </c>
      <c r="D34" s="1534">
        <v>0</v>
      </c>
      <c r="E34" s="1534">
        <v>0</v>
      </c>
      <c r="F34" s="1534">
        <v>0</v>
      </c>
      <c r="G34" s="1534">
        <v>0</v>
      </c>
      <c r="H34" s="1535">
        <v>140.46445600000001</v>
      </c>
    </row>
    <row r="35" spans="1:8">
      <c r="A35" s="1429" t="s">
        <v>965</v>
      </c>
      <c r="B35" s="1429" t="s">
        <v>1446</v>
      </c>
      <c r="C35" s="1534">
        <v>0.92036899999999999</v>
      </c>
      <c r="D35" s="1534">
        <v>0</v>
      </c>
      <c r="E35" s="1534">
        <v>0</v>
      </c>
      <c r="F35" s="1534">
        <v>0</v>
      </c>
      <c r="G35" s="1534">
        <v>0</v>
      </c>
      <c r="H35" s="1535">
        <v>0.92036899999999999</v>
      </c>
    </row>
    <row r="36" spans="1:8">
      <c r="A36" s="1429" t="s">
        <v>965</v>
      </c>
      <c r="B36" s="1429" t="s">
        <v>1447</v>
      </c>
      <c r="C36" s="1534">
        <v>0</v>
      </c>
      <c r="D36" s="1534">
        <v>27.227713000000001</v>
      </c>
      <c r="E36" s="1534">
        <v>0</v>
      </c>
      <c r="F36" s="1534">
        <v>0</v>
      </c>
      <c r="G36" s="1534">
        <v>0</v>
      </c>
      <c r="H36" s="1535">
        <v>27.227713000000001</v>
      </c>
    </row>
    <row r="37" spans="1:8">
      <c r="A37" s="1429" t="s">
        <v>965</v>
      </c>
      <c r="B37" s="1429" t="s">
        <v>1448</v>
      </c>
      <c r="C37" s="1534">
        <v>0</v>
      </c>
      <c r="D37" s="1534">
        <v>0</v>
      </c>
      <c r="E37" s="1534">
        <v>0</v>
      </c>
      <c r="F37" s="1534">
        <v>0</v>
      </c>
      <c r="G37" s="1534">
        <v>17.618071</v>
      </c>
      <c r="H37" s="1535">
        <v>17.618071</v>
      </c>
    </row>
    <row r="38" spans="1:8">
      <c r="A38" s="1429" t="s">
        <v>965</v>
      </c>
      <c r="B38" s="1429" t="s">
        <v>1449</v>
      </c>
      <c r="C38" s="1534">
        <v>0</v>
      </c>
      <c r="D38" s="1534">
        <v>21.745505000000001</v>
      </c>
      <c r="E38" s="1534">
        <v>0</v>
      </c>
      <c r="F38" s="1534">
        <v>0</v>
      </c>
      <c r="G38" s="1534">
        <v>0</v>
      </c>
      <c r="H38" s="1535">
        <v>21.745505000000001</v>
      </c>
    </row>
    <row r="39" spans="1:8">
      <c r="A39" s="1429" t="s">
        <v>965</v>
      </c>
      <c r="B39" s="1429" t="s">
        <v>1698</v>
      </c>
      <c r="C39" s="1534">
        <v>2.6114920000000001</v>
      </c>
      <c r="D39" s="1534">
        <v>0</v>
      </c>
      <c r="E39" s="1534">
        <v>0</v>
      </c>
      <c r="F39" s="1534">
        <v>0</v>
      </c>
      <c r="G39" s="1534">
        <v>0</v>
      </c>
      <c r="H39" s="1535">
        <v>2.6114920000000001</v>
      </c>
    </row>
    <row r="40" spans="1:8">
      <c r="A40" s="1429" t="s">
        <v>965</v>
      </c>
      <c r="B40" s="1429" t="s">
        <v>1699</v>
      </c>
      <c r="C40" s="1534">
        <v>7.8111300000000004</v>
      </c>
      <c r="D40" s="1534">
        <v>3.465462</v>
      </c>
      <c r="E40" s="1534">
        <v>0</v>
      </c>
      <c r="F40" s="1534">
        <v>0</v>
      </c>
      <c r="G40" s="1534">
        <v>0</v>
      </c>
      <c r="H40" s="1535">
        <v>11.276592000000001</v>
      </c>
    </row>
    <row r="41" spans="1:8">
      <c r="A41" s="1429" t="s">
        <v>965</v>
      </c>
      <c r="B41" s="1429" t="s">
        <v>1450</v>
      </c>
      <c r="C41" s="1534">
        <v>0</v>
      </c>
      <c r="D41" s="1534">
        <v>0</v>
      </c>
      <c r="E41" s="1534">
        <v>0</v>
      </c>
      <c r="F41" s="1534">
        <v>0</v>
      </c>
      <c r="G41" s="1534">
        <v>46.511631999999999</v>
      </c>
      <c r="H41" s="1535">
        <v>46.511631999999999</v>
      </c>
    </row>
    <row r="42" spans="1:8">
      <c r="A42" s="1429" t="s">
        <v>965</v>
      </c>
      <c r="B42" s="1429" t="s">
        <v>1700</v>
      </c>
      <c r="C42" s="1534">
        <v>66.501238000000001</v>
      </c>
      <c r="D42" s="1534">
        <v>0</v>
      </c>
      <c r="E42" s="1534">
        <v>0</v>
      </c>
      <c r="F42" s="1534">
        <v>0</v>
      </c>
      <c r="G42" s="1534">
        <v>0</v>
      </c>
      <c r="H42" s="1535">
        <v>66.501238000000001</v>
      </c>
    </row>
    <row r="43" spans="1:8">
      <c r="A43" s="1429" t="s">
        <v>965</v>
      </c>
      <c r="B43" s="1429" t="s">
        <v>1451</v>
      </c>
      <c r="C43" s="1534">
        <v>1.1412</v>
      </c>
      <c r="D43" s="1534">
        <v>0</v>
      </c>
      <c r="E43" s="1534">
        <v>0</v>
      </c>
      <c r="F43" s="1534">
        <v>0</v>
      </c>
      <c r="G43" s="1534">
        <v>0</v>
      </c>
      <c r="H43" s="1535">
        <v>1.1412</v>
      </c>
    </row>
    <row r="44" spans="1:8">
      <c r="A44" s="1429" t="s">
        <v>965</v>
      </c>
      <c r="B44" s="1429" t="s">
        <v>1452</v>
      </c>
      <c r="C44" s="1534">
        <v>0</v>
      </c>
      <c r="D44" s="1534">
        <v>0</v>
      </c>
      <c r="E44" s="1534">
        <v>0</v>
      </c>
      <c r="F44" s="1534">
        <v>0</v>
      </c>
      <c r="G44" s="1534">
        <v>9.2460039999999992</v>
      </c>
      <c r="H44" s="1535">
        <v>9.2460039999999992</v>
      </c>
    </row>
    <row r="45" spans="1:8">
      <c r="A45" s="1429" t="s">
        <v>965</v>
      </c>
      <c r="B45" s="1429" t="s">
        <v>1453</v>
      </c>
      <c r="C45" s="1534">
        <v>0</v>
      </c>
      <c r="D45" s="1534">
        <v>0</v>
      </c>
      <c r="E45" s="1534">
        <v>0</v>
      </c>
      <c r="F45" s="1534">
        <v>0</v>
      </c>
      <c r="G45" s="1534">
        <v>11.79998</v>
      </c>
      <c r="H45" s="1535">
        <v>11.79998</v>
      </c>
    </row>
    <row r="46" spans="1:8">
      <c r="A46" s="1429" t="s">
        <v>965</v>
      </c>
      <c r="B46" s="1429" t="s">
        <v>1426</v>
      </c>
      <c r="C46" s="1534">
        <v>0</v>
      </c>
      <c r="D46" s="1534">
        <v>0</v>
      </c>
      <c r="E46" s="1534">
        <v>0</v>
      </c>
      <c r="F46" s="1534">
        <v>0</v>
      </c>
      <c r="G46" s="1534">
        <v>17.555599999999998</v>
      </c>
      <c r="H46" s="1535">
        <v>17.555599999999998</v>
      </c>
    </row>
    <row r="47" spans="1:8">
      <c r="A47" s="1429" t="s">
        <v>965</v>
      </c>
      <c r="B47" s="1429" t="s">
        <v>1442</v>
      </c>
      <c r="C47" s="1534">
        <v>0</v>
      </c>
      <c r="D47" s="1534">
        <v>0</v>
      </c>
      <c r="E47" s="1534">
        <v>0</v>
      </c>
      <c r="F47" s="1534">
        <v>0</v>
      </c>
      <c r="G47" s="1534">
        <v>25.391681999999999</v>
      </c>
      <c r="H47" s="1535">
        <v>25.391681999999999</v>
      </c>
    </row>
    <row r="48" spans="1:8">
      <c r="A48" s="1429" t="s">
        <v>965</v>
      </c>
      <c r="B48" s="1429" t="s">
        <v>1429</v>
      </c>
      <c r="C48" s="1534">
        <v>0</v>
      </c>
      <c r="D48" s="1534">
        <v>0</v>
      </c>
      <c r="E48" s="1534">
        <v>0</v>
      </c>
      <c r="F48" s="1534">
        <v>0</v>
      </c>
      <c r="G48" s="1534">
        <v>31.562830000000002</v>
      </c>
      <c r="H48" s="1535">
        <v>31.562830000000002</v>
      </c>
    </row>
    <row r="49" spans="1:8">
      <c r="A49" s="1429" t="s">
        <v>965</v>
      </c>
      <c r="B49" s="1429" t="s">
        <v>1484</v>
      </c>
      <c r="C49" s="1534">
        <v>0</v>
      </c>
      <c r="D49" s="1534">
        <v>0</v>
      </c>
      <c r="E49" s="1534">
        <v>3.7999999999999999E-2</v>
      </c>
      <c r="F49" s="1534">
        <v>0</v>
      </c>
      <c r="G49" s="1534">
        <v>0</v>
      </c>
      <c r="H49" s="1535">
        <v>3.7999999999999999E-2</v>
      </c>
    </row>
    <row r="50" spans="1:8">
      <c r="A50" s="1429" t="s">
        <v>965</v>
      </c>
      <c r="B50" s="1429" t="s">
        <v>1443</v>
      </c>
      <c r="C50" s="1534">
        <v>0</v>
      </c>
      <c r="D50" s="1534">
        <v>0</v>
      </c>
      <c r="E50" s="1534">
        <v>0</v>
      </c>
      <c r="F50" s="1534">
        <v>0</v>
      </c>
      <c r="G50" s="1534">
        <v>29.72813</v>
      </c>
      <c r="H50" s="1535">
        <v>29.72813</v>
      </c>
    </row>
    <row r="51" spans="1:8">
      <c r="A51" s="1429" t="s">
        <v>965</v>
      </c>
      <c r="B51" s="1429" t="s">
        <v>1701</v>
      </c>
      <c r="C51" s="1534">
        <v>20.635594000000001</v>
      </c>
      <c r="D51" s="1534">
        <v>0</v>
      </c>
      <c r="E51" s="1534">
        <v>0</v>
      </c>
      <c r="F51" s="1534">
        <v>0</v>
      </c>
      <c r="G51" s="1534">
        <v>0</v>
      </c>
      <c r="H51" s="1535">
        <v>20.635594000000001</v>
      </c>
    </row>
    <row r="52" spans="1:8">
      <c r="A52" s="1429"/>
      <c r="B52" s="1429"/>
      <c r="C52" s="1429"/>
      <c r="D52" s="1429"/>
      <c r="E52" s="1429"/>
      <c r="F52" s="1429"/>
      <c r="G52" s="1429"/>
      <c r="H52" s="1533"/>
    </row>
    <row r="53" spans="1:8">
      <c r="A53" s="1533" t="s">
        <v>1106</v>
      </c>
      <c r="B53" s="1429" t="s">
        <v>1421</v>
      </c>
      <c r="C53" s="1534">
        <v>0</v>
      </c>
      <c r="D53" s="1534">
        <v>0</v>
      </c>
      <c r="E53" s="1534">
        <v>433.61054000000001</v>
      </c>
      <c r="F53" s="1534">
        <v>0</v>
      </c>
      <c r="G53" s="1534">
        <v>0</v>
      </c>
      <c r="H53" s="1535">
        <v>433.61054000000001</v>
      </c>
    </row>
    <row r="54" spans="1:8">
      <c r="A54" s="1429" t="s">
        <v>1106</v>
      </c>
      <c r="B54" s="1429" t="s">
        <v>1454</v>
      </c>
      <c r="C54" s="1534">
        <v>0</v>
      </c>
      <c r="D54" s="1534">
        <v>0</v>
      </c>
      <c r="E54" s="1534">
        <v>298.435923</v>
      </c>
      <c r="F54" s="1534">
        <v>0</v>
      </c>
      <c r="G54" s="1534">
        <v>0</v>
      </c>
      <c r="H54" s="1535">
        <v>298.435923</v>
      </c>
    </row>
    <row r="55" spans="1:8">
      <c r="A55" s="1429" t="s">
        <v>1106</v>
      </c>
      <c r="B55" s="1429" t="s">
        <v>1420</v>
      </c>
      <c r="C55" s="1534">
        <v>0</v>
      </c>
      <c r="D55" s="1534">
        <v>0</v>
      </c>
      <c r="E55" s="1534">
        <v>345.47934900000001</v>
      </c>
      <c r="F55" s="1534">
        <v>0</v>
      </c>
      <c r="G55" s="1534">
        <v>0</v>
      </c>
      <c r="H55" s="1535">
        <v>345.47934900000001</v>
      </c>
    </row>
    <row r="56" spans="1:8">
      <c r="A56" s="1429" t="s">
        <v>1106</v>
      </c>
      <c r="B56" s="1429" t="s">
        <v>1422</v>
      </c>
      <c r="C56" s="1534">
        <v>0</v>
      </c>
      <c r="D56" s="1534">
        <v>0</v>
      </c>
      <c r="E56" s="1534">
        <v>121.520285</v>
      </c>
      <c r="F56" s="1534">
        <v>0</v>
      </c>
      <c r="G56" s="1534">
        <v>0</v>
      </c>
      <c r="H56" s="1535">
        <v>121.520285</v>
      </c>
    </row>
    <row r="57" spans="1:8">
      <c r="A57" s="1429" t="s">
        <v>1106</v>
      </c>
      <c r="B57" s="1429" t="s">
        <v>1457</v>
      </c>
      <c r="C57" s="1534">
        <v>0</v>
      </c>
      <c r="D57" s="1534">
        <v>0</v>
      </c>
      <c r="E57" s="1534">
        <v>180.487121</v>
      </c>
      <c r="F57" s="1534">
        <v>0</v>
      </c>
      <c r="G57" s="1534">
        <v>0</v>
      </c>
      <c r="H57" s="1535">
        <v>180.487121</v>
      </c>
    </row>
    <row r="58" spans="1:8">
      <c r="A58" s="1429" t="s">
        <v>1106</v>
      </c>
      <c r="B58" s="1429" t="s">
        <v>1458</v>
      </c>
      <c r="C58" s="1534">
        <v>0</v>
      </c>
      <c r="D58" s="1534">
        <v>0</v>
      </c>
      <c r="E58" s="1534">
        <v>461.236853</v>
      </c>
      <c r="F58" s="1534">
        <v>0</v>
      </c>
      <c r="G58" s="1534">
        <v>0</v>
      </c>
      <c r="H58" s="1535">
        <v>461.236853</v>
      </c>
    </row>
    <row r="59" spans="1:8">
      <c r="A59" s="1429" t="s">
        <v>1106</v>
      </c>
      <c r="B59" s="1429" t="s">
        <v>1459</v>
      </c>
      <c r="C59" s="1534">
        <v>0</v>
      </c>
      <c r="D59" s="1534">
        <v>0</v>
      </c>
      <c r="E59" s="1534">
        <v>147.44535300000001</v>
      </c>
      <c r="F59" s="1534">
        <v>0</v>
      </c>
      <c r="G59" s="1534">
        <v>0</v>
      </c>
      <c r="H59" s="1535">
        <v>147.44535300000001</v>
      </c>
    </row>
    <row r="60" spans="1:8">
      <c r="A60" s="1429" t="s">
        <v>1106</v>
      </c>
      <c r="B60" s="1429" t="s">
        <v>1460</v>
      </c>
      <c r="C60" s="1534">
        <v>0</v>
      </c>
      <c r="D60" s="1534">
        <v>0</v>
      </c>
      <c r="E60" s="1534">
        <v>370.00808799999999</v>
      </c>
      <c r="F60" s="1534">
        <v>0</v>
      </c>
      <c r="G60" s="1534">
        <v>0</v>
      </c>
      <c r="H60" s="1535">
        <v>370.00808799999999</v>
      </c>
    </row>
    <row r="61" spans="1:8">
      <c r="A61" s="1429" t="s">
        <v>1106</v>
      </c>
      <c r="B61" s="1429" t="s">
        <v>1461</v>
      </c>
      <c r="C61" s="1534">
        <v>0</v>
      </c>
      <c r="D61" s="1534">
        <v>0</v>
      </c>
      <c r="E61" s="1534">
        <v>261.24293499999999</v>
      </c>
      <c r="F61" s="1534">
        <v>0</v>
      </c>
      <c r="G61" s="1534">
        <v>0</v>
      </c>
      <c r="H61" s="1535">
        <v>261.24293499999999</v>
      </c>
    </row>
    <row r="62" spans="1:8">
      <c r="A62" s="1429" t="s">
        <v>1106</v>
      </c>
      <c r="B62" s="1429" t="s">
        <v>1423</v>
      </c>
      <c r="C62" s="1534">
        <v>0</v>
      </c>
      <c r="D62" s="1534">
        <v>0</v>
      </c>
      <c r="E62" s="1534">
        <v>418.03280799999999</v>
      </c>
      <c r="F62" s="1534">
        <v>0</v>
      </c>
      <c r="G62" s="1534">
        <v>0</v>
      </c>
      <c r="H62" s="1535">
        <v>418.03280799999999</v>
      </c>
    </row>
    <row r="63" spans="1:8">
      <c r="A63" s="1429" t="s">
        <v>1106</v>
      </c>
      <c r="B63" s="1429" t="s">
        <v>1462</v>
      </c>
      <c r="C63" s="1534">
        <v>0</v>
      </c>
      <c r="D63" s="1534">
        <v>0</v>
      </c>
      <c r="E63" s="1534">
        <v>459.214876</v>
      </c>
      <c r="F63" s="1534">
        <v>0</v>
      </c>
      <c r="G63" s="1534">
        <v>0</v>
      </c>
      <c r="H63" s="1535">
        <v>459.214876</v>
      </c>
    </row>
    <row r="64" spans="1:8">
      <c r="A64" s="1429" t="s">
        <v>1106</v>
      </c>
      <c r="B64" s="1429" t="s">
        <v>1424</v>
      </c>
      <c r="C64" s="1534">
        <v>0</v>
      </c>
      <c r="D64" s="1534">
        <v>0</v>
      </c>
      <c r="E64" s="1534">
        <v>342.68553200000002</v>
      </c>
      <c r="F64" s="1534">
        <v>0</v>
      </c>
      <c r="G64" s="1534">
        <v>0</v>
      </c>
      <c r="H64" s="1535">
        <v>342.68553200000002</v>
      </c>
    </row>
    <row r="65" spans="1:8">
      <c r="A65" s="1429" t="s">
        <v>1106</v>
      </c>
      <c r="B65" s="1429" t="s">
        <v>1463</v>
      </c>
      <c r="C65" s="1534">
        <v>0</v>
      </c>
      <c r="D65" s="1534">
        <v>0</v>
      </c>
      <c r="E65" s="1534">
        <v>251.81961699999999</v>
      </c>
      <c r="F65" s="1534">
        <v>0</v>
      </c>
      <c r="G65" s="1534">
        <v>0</v>
      </c>
      <c r="H65" s="1535">
        <v>251.81961699999999</v>
      </c>
    </row>
    <row r="66" spans="1:8">
      <c r="A66" s="1429" t="s">
        <v>1106</v>
      </c>
      <c r="B66" s="1429" t="s">
        <v>1464</v>
      </c>
      <c r="C66" s="1534">
        <v>0</v>
      </c>
      <c r="D66" s="1534">
        <v>0</v>
      </c>
      <c r="E66" s="1534">
        <v>402.90954199999999</v>
      </c>
      <c r="F66" s="1534">
        <v>0</v>
      </c>
      <c r="G66" s="1534">
        <v>0</v>
      </c>
      <c r="H66" s="1535">
        <v>402.90954199999999</v>
      </c>
    </row>
    <row r="67" spans="1:8">
      <c r="A67" s="1429" t="s">
        <v>1106</v>
      </c>
      <c r="B67" s="1429" t="s">
        <v>1465</v>
      </c>
      <c r="C67" s="1534">
        <v>0</v>
      </c>
      <c r="D67" s="1534">
        <v>0</v>
      </c>
      <c r="E67" s="1534">
        <v>156.406125</v>
      </c>
      <c r="F67" s="1534">
        <v>0</v>
      </c>
      <c r="G67" s="1534">
        <v>0</v>
      </c>
      <c r="H67" s="1535">
        <v>156.406125</v>
      </c>
    </row>
    <row r="68" spans="1:8">
      <c r="A68" s="1429" t="s">
        <v>1106</v>
      </c>
      <c r="B68" s="1429" t="s">
        <v>1466</v>
      </c>
      <c r="C68" s="1534">
        <v>0</v>
      </c>
      <c r="D68" s="1534">
        <v>0</v>
      </c>
      <c r="E68" s="1534">
        <v>275.45010000000002</v>
      </c>
      <c r="F68" s="1534">
        <v>0</v>
      </c>
      <c r="G68" s="1534">
        <v>0</v>
      </c>
      <c r="H68" s="1535">
        <v>275.45010000000002</v>
      </c>
    </row>
    <row r="69" spans="1:8">
      <c r="A69" s="1429" t="s">
        <v>1106</v>
      </c>
      <c r="B69" s="1429" t="s">
        <v>1425</v>
      </c>
      <c r="C69" s="1534">
        <v>0</v>
      </c>
      <c r="D69" s="1534">
        <v>0</v>
      </c>
      <c r="E69" s="1534">
        <v>167.793657</v>
      </c>
      <c r="F69" s="1534">
        <v>0</v>
      </c>
      <c r="G69" s="1534">
        <v>0</v>
      </c>
      <c r="H69" s="1535">
        <v>167.793657</v>
      </c>
    </row>
    <row r="70" spans="1:8">
      <c r="A70" s="1429" t="s">
        <v>1106</v>
      </c>
      <c r="B70" s="1429" t="s">
        <v>1467</v>
      </c>
      <c r="C70" s="1534">
        <v>0</v>
      </c>
      <c r="D70" s="1534">
        <v>0</v>
      </c>
      <c r="E70" s="1534">
        <v>161.090926</v>
      </c>
      <c r="F70" s="1534">
        <v>0</v>
      </c>
      <c r="G70" s="1534">
        <v>0</v>
      </c>
      <c r="H70" s="1535">
        <v>161.090926</v>
      </c>
    </row>
    <row r="71" spans="1:8">
      <c r="A71" s="1429" t="s">
        <v>1106</v>
      </c>
      <c r="B71" s="1429" t="s">
        <v>1468</v>
      </c>
      <c r="C71" s="1534">
        <v>0</v>
      </c>
      <c r="D71" s="1534">
        <v>0</v>
      </c>
      <c r="E71" s="1534">
        <v>150.37467100000001</v>
      </c>
      <c r="F71" s="1534">
        <v>0</v>
      </c>
      <c r="G71" s="1534">
        <v>0</v>
      </c>
      <c r="H71" s="1535">
        <v>150.37467100000001</v>
      </c>
    </row>
    <row r="72" spans="1:8">
      <c r="A72" s="1429" t="s">
        <v>1106</v>
      </c>
      <c r="B72" s="1429" t="s">
        <v>1469</v>
      </c>
      <c r="C72" s="1534">
        <v>0</v>
      </c>
      <c r="D72" s="1534">
        <v>0</v>
      </c>
      <c r="E72" s="1534">
        <v>294.20007700000002</v>
      </c>
      <c r="F72" s="1534">
        <v>0</v>
      </c>
      <c r="G72" s="1534">
        <v>0</v>
      </c>
      <c r="H72" s="1535">
        <v>294.20007700000002</v>
      </c>
    </row>
    <row r="73" spans="1:8">
      <c r="A73" s="1429" t="s">
        <v>1106</v>
      </c>
      <c r="B73" s="1429" t="s">
        <v>1470</v>
      </c>
      <c r="C73" s="1534">
        <v>0</v>
      </c>
      <c r="D73" s="1534">
        <v>0</v>
      </c>
      <c r="E73" s="1534">
        <v>427.63449600000001</v>
      </c>
      <c r="F73" s="1534">
        <v>0</v>
      </c>
      <c r="G73" s="1534">
        <v>0</v>
      </c>
      <c r="H73" s="1535">
        <v>427.63449600000001</v>
      </c>
    </row>
    <row r="74" spans="1:8">
      <c r="A74" s="1429" t="s">
        <v>1106</v>
      </c>
      <c r="B74" s="1429" t="s">
        <v>1427</v>
      </c>
      <c r="C74" s="1534">
        <v>0</v>
      </c>
      <c r="D74" s="1534">
        <v>0</v>
      </c>
      <c r="E74" s="1534">
        <v>267.54769900000002</v>
      </c>
      <c r="F74" s="1534">
        <v>0</v>
      </c>
      <c r="G74" s="1534">
        <v>0</v>
      </c>
      <c r="H74" s="1535">
        <v>267.54769900000002</v>
      </c>
    </row>
    <row r="75" spans="1:8">
      <c r="A75" s="1429" t="s">
        <v>1106</v>
      </c>
      <c r="B75" s="1429" t="s">
        <v>1428</v>
      </c>
      <c r="C75" s="1534">
        <v>0</v>
      </c>
      <c r="D75" s="1534">
        <v>0</v>
      </c>
      <c r="E75" s="1534">
        <v>179.397336</v>
      </c>
      <c r="F75" s="1534">
        <v>0</v>
      </c>
      <c r="G75" s="1534">
        <v>0</v>
      </c>
      <c r="H75" s="1535">
        <v>179.397336</v>
      </c>
    </row>
    <row r="76" spans="1:8">
      <c r="A76" s="1429" t="s">
        <v>1106</v>
      </c>
      <c r="B76" s="1429" t="s">
        <v>1473</v>
      </c>
      <c r="C76" s="1534">
        <v>0</v>
      </c>
      <c r="D76" s="1534">
        <v>0</v>
      </c>
      <c r="E76" s="1534">
        <v>330.35071299999998</v>
      </c>
      <c r="F76" s="1534">
        <v>0</v>
      </c>
      <c r="G76" s="1534">
        <v>0</v>
      </c>
      <c r="H76" s="1535">
        <v>330.35071299999998</v>
      </c>
    </row>
    <row r="77" spans="1:8">
      <c r="A77" s="1429" t="s">
        <v>1106</v>
      </c>
      <c r="B77" s="1429" t="s">
        <v>1474</v>
      </c>
      <c r="C77" s="1534">
        <v>0</v>
      </c>
      <c r="D77" s="1534">
        <v>0</v>
      </c>
      <c r="E77" s="1534">
        <v>618.99109099999998</v>
      </c>
      <c r="F77" s="1534">
        <v>0</v>
      </c>
      <c r="G77" s="1534">
        <v>0</v>
      </c>
      <c r="H77" s="1535">
        <v>618.99109099999998</v>
      </c>
    </row>
    <row r="78" spans="1:8">
      <c r="A78" s="1429" t="s">
        <v>1106</v>
      </c>
      <c r="B78" s="1429" t="s">
        <v>1716</v>
      </c>
      <c r="C78" s="1534">
        <v>0</v>
      </c>
      <c r="D78" s="1534">
        <v>0</v>
      </c>
      <c r="E78" s="1534">
        <v>41.366</v>
      </c>
      <c r="F78" s="1534">
        <v>0</v>
      </c>
      <c r="G78" s="1534">
        <v>0</v>
      </c>
      <c r="H78" s="1535">
        <v>41.366</v>
      </c>
    </row>
    <row r="79" spans="1:8">
      <c r="A79" s="1429" t="s">
        <v>1106</v>
      </c>
      <c r="B79" s="1429" t="s">
        <v>1475</v>
      </c>
      <c r="C79" s="1534">
        <v>0</v>
      </c>
      <c r="D79" s="1534">
        <v>0</v>
      </c>
      <c r="E79" s="1534">
        <v>241.06504100000001</v>
      </c>
      <c r="F79" s="1534">
        <v>0</v>
      </c>
      <c r="G79" s="1534">
        <v>0</v>
      </c>
      <c r="H79" s="1535">
        <v>241.06504100000001</v>
      </c>
    </row>
    <row r="80" spans="1:8">
      <c r="A80" s="1429" t="s">
        <v>1106</v>
      </c>
      <c r="B80" s="1429" t="s">
        <v>1476</v>
      </c>
      <c r="C80" s="1534">
        <v>0</v>
      </c>
      <c r="D80" s="1534">
        <v>0</v>
      </c>
      <c r="E80" s="1534">
        <v>104.88570900000001</v>
      </c>
      <c r="F80" s="1534">
        <v>0</v>
      </c>
      <c r="G80" s="1534">
        <v>0</v>
      </c>
      <c r="H80" s="1535">
        <v>104.88570900000001</v>
      </c>
    </row>
    <row r="81" spans="1:8">
      <c r="A81" s="1429" t="s">
        <v>1106</v>
      </c>
      <c r="B81" s="1429" t="s">
        <v>1477</v>
      </c>
      <c r="C81" s="1534">
        <v>0</v>
      </c>
      <c r="D81" s="1534">
        <v>0</v>
      </c>
      <c r="E81" s="1534">
        <v>251.58417600000001</v>
      </c>
      <c r="F81" s="1534">
        <v>0</v>
      </c>
      <c r="G81" s="1534">
        <v>0</v>
      </c>
      <c r="H81" s="1535">
        <v>251.58417600000001</v>
      </c>
    </row>
    <row r="82" spans="1:8">
      <c r="A82" s="1429" t="s">
        <v>1106</v>
      </c>
      <c r="B82" s="1429" t="s">
        <v>1478</v>
      </c>
      <c r="C82" s="1534">
        <v>0</v>
      </c>
      <c r="D82" s="1534">
        <v>0</v>
      </c>
      <c r="E82" s="1534">
        <v>246.61920599999999</v>
      </c>
      <c r="F82" s="1534">
        <v>0</v>
      </c>
      <c r="G82" s="1534">
        <v>0</v>
      </c>
      <c r="H82" s="1535">
        <v>246.61920599999999</v>
      </c>
    </row>
    <row r="83" spans="1:8">
      <c r="A83" s="1429" t="s">
        <v>1106</v>
      </c>
      <c r="B83" s="1429" t="s">
        <v>2266</v>
      </c>
      <c r="C83" s="1534">
        <v>0</v>
      </c>
      <c r="D83" s="1534">
        <v>0</v>
      </c>
      <c r="E83" s="1534">
        <v>189.90402700000001</v>
      </c>
      <c r="F83" s="1534">
        <v>0</v>
      </c>
      <c r="G83" s="1534">
        <v>0</v>
      </c>
      <c r="H83" s="1535">
        <v>189.90402700000001</v>
      </c>
    </row>
    <row r="84" spans="1:8">
      <c r="A84" s="1429" t="s">
        <v>1106</v>
      </c>
      <c r="B84" s="1429" t="s">
        <v>1479</v>
      </c>
      <c r="C84" s="1534">
        <v>0</v>
      </c>
      <c r="D84" s="1534">
        <v>0</v>
      </c>
      <c r="E84" s="1534">
        <v>109.244091</v>
      </c>
      <c r="F84" s="1534">
        <v>0</v>
      </c>
      <c r="G84" s="1534">
        <v>0</v>
      </c>
      <c r="H84" s="1535">
        <v>109.244091</v>
      </c>
    </row>
    <row r="85" spans="1:8">
      <c r="A85" s="1429" t="s">
        <v>1106</v>
      </c>
      <c r="B85" s="1429" t="s">
        <v>1480</v>
      </c>
      <c r="C85" s="1534">
        <v>0</v>
      </c>
      <c r="D85" s="1534">
        <v>0</v>
      </c>
      <c r="E85" s="1534">
        <v>161.80896799999999</v>
      </c>
      <c r="F85" s="1534">
        <v>0</v>
      </c>
      <c r="G85" s="1534">
        <v>0</v>
      </c>
      <c r="H85" s="1535">
        <v>161.80896799999999</v>
      </c>
    </row>
    <row r="86" spans="1:8">
      <c r="A86" s="1429" t="s">
        <v>1106</v>
      </c>
      <c r="B86" s="1429" t="s">
        <v>1482</v>
      </c>
      <c r="C86" s="1534">
        <v>0</v>
      </c>
      <c r="D86" s="1534">
        <v>0</v>
      </c>
      <c r="E86" s="1534">
        <v>390.93359500000003</v>
      </c>
      <c r="F86" s="1534">
        <v>0</v>
      </c>
      <c r="G86" s="1534">
        <v>0</v>
      </c>
      <c r="H86" s="1535">
        <v>390.93359500000003</v>
      </c>
    </row>
    <row r="87" spans="1:8">
      <c r="A87" s="1429" t="s">
        <v>1106</v>
      </c>
      <c r="B87" s="1429" t="s">
        <v>1483</v>
      </c>
      <c r="C87" s="1534">
        <v>0</v>
      </c>
      <c r="D87" s="1534">
        <v>0</v>
      </c>
      <c r="E87" s="1534">
        <v>86.367656999999994</v>
      </c>
      <c r="F87" s="1534">
        <v>0</v>
      </c>
      <c r="G87" s="1534">
        <v>0</v>
      </c>
      <c r="H87" s="1535">
        <v>86.367656999999994</v>
      </c>
    </row>
    <row r="88" spans="1:8">
      <c r="A88" s="1429" t="s">
        <v>1106</v>
      </c>
      <c r="B88" s="1429" t="s">
        <v>1430</v>
      </c>
      <c r="C88" s="1534">
        <v>0</v>
      </c>
      <c r="D88" s="1534">
        <v>0</v>
      </c>
      <c r="E88" s="1534">
        <v>267.076683</v>
      </c>
      <c r="F88" s="1534">
        <v>0</v>
      </c>
      <c r="G88" s="1534">
        <v>0</v>
      </c>
      <c r="H88" s="1535">
        <v>267.076683</v>
      </c>
    </row>
    <row r="89" spans="1:8">
      <c r="A89" s="1429" t="s">
        <v>1106</v>
      </c>
      <c r="B89" s="1429" t="s">
        <v>1431</v>
      </c>
      <c r="C89" s="1534">
        <v>0</v>
      </c>
      <c r="D89" s="1534">
        <v>0</v>
      </c>
      <c r="E89" s="1534">
        <v>163.68335999999999</v>
      </c>
      <c r="F89" s="1534">
        <v>0</v>
      </c>
      <c r="G89" s="1534">
        <v>0</v>
      </c>
      <c r="H89" s="1535">
        <v>163.68335999999999</v>
      </c>
    </row>
    <row r="90" spans="1:8">
      <c r="A90" s="1429" t="s">
        <v>1106</v>
      </c>
      <c r="B90" s="1429" t="s">
        <v>2267</v>
      </c>
      <c r="C90" s="1534">
        <v>0</v>
      </c>
      <c r="D90" s="1534">
        <v>0</v>
      </c>
      <c r="E90" s="1534">
        <v>101.481684</v>
      </c>
      <c r="F90" s="1534">
        <v>0</v>
      </c>
      <c r="G90" s="1534">
        <v>0</v>
      </c>
      <c r="H90" s="1535">
        <v>101.481684</v>
      </c>
    </row>
    <row r="91" spans="1:8">
      <c r="A91" s="1429" t="s">
        <v>1106</v>
      </c>
      <c r="B91" s="1429" t="s">
        <v>1485</v>
      </c>
      <c r="C91" s="1534">
        <v>0</v>
      </c>
      <c r="D91" s="1534">
        <v>0</v>
      </c>
      <c r="E91" s="1534">
        <v>295.02411799999999</v>
      </c>
      <c r="F91" s="1534">
        <v>0</v>
      </c>
      <c r="G91" s="1534">
        <v>0</v>
      </c>
      <c r="H91" s="1535">
        <v>295.02411799999999</v>
      </c>
    </row>
    <row r="92" spans="1:8">
      <c r="A92" s="1429" t="s">
        <v>1106</v>
      </c>
      <c r="B92" s="1429" t="s">
        <v>1486</v>
      </c>
      <c r="C92" s="1534">
        <v>0</v>
      </c>
      <c r="D92" s="1534">
        <v>0</v>
      </c>
      <c r="E92" s="1534">
        <v>222.62373299999999</v>
      </c>
      <c r="F92" s="1534">
        <v>0</v>
      </c>
      <c r="G92" s="1534">
        <v>0</v>
      </c>
      <c r="H92" s="1535">
        <v>222.62373299999999</v>
      </c>
    </row>
    <row r="93" spans="1:8">
      <c r="A93" s="1429" t="s">
        <v>1106</v>
      </c>
      <c r="B93" s="1429" t="s">
        <v>1432</v>
      </c>
      <c r="C93" s="1534">
        <v>0</v>
      </c>
      <c r="D93" s="1534">
        <v>0</v>
      </c>
      <c r="E93" s="1534">
        <v>201.68050700000001</v>
      </c>
      <c r="F93" s="1534">
        <v>0</v>
      </c>
      <c r="G93" s="1534">
        <v>0</v>
      </c>
      <c r="H93" s="1535">
        <v>201.68050700000001</v>
      </c>
    </row>
    <row r="94" spans="1:8">
      <c r="A94" s="1429" t="s">
        <v>1106</v>
      </c>
      <c r="B94" s="1429" t="s">
        <v>1433</v>
      </c>
      <c r="C94" s="1534">
        <v>0</v>
      </c>
      <c r="D94" s="1534">
        <v>0</v>
      </c>
      <c r="E94" s="1534">
        <v>242.69844499999999</v>
      </c>
      <c r="F94" s="1534">
        <v>0</v>
      </c>
      <c r="G94" s="1534">
        <v>0</v>
      </c>
      <c r="H94" s="1535">
        <v>242.69844499999999</v>
      </c>
    </row>
    <row r="95" spans="1:8">
      <c r="A95" s="1429" t="s">
        <v>1106</v>
      </c>
      <c r="B95" s="1429" t="s">
        <v>1489</v>
      </c>
      <c r="C95" s="1534">
        <v>0</v>
      </c>
      <c r="D95" s="1534">
        <v>0</v>
      </c>
      <c r="E95" s="1534">
        <v>120.039804</v>
      </c>
      <c r="F95" s="1534">
        <v>0</v>
      </c>
      <c r="G95" s="1534">
        <v>0</v>
      </c>
      <c r="H95" s="1535">
        <v>120.039804</v>
      </c>
    </row>
    <row r="96" spans="1:8">
      <c r="A96" s="1429" t="s">
        <v>1106</v>
      </c>
      <c r="B96" s="1429" t="s">
        <v>1490</v>
      </c>
      <c r="C96" s="1534">
        <v>0</v>
      </c>
      <c r="D96" s="1534">
        <v>0</v>
      </c>
      <c r="E96" s="1534">
        <v>171.542395</v>
      </c>
      <c r="F96" s="1534">
        <v>0</v>
      </c>
      <c r="G96" s="1534">
        <v>0</v>
      </c>
      <c r="H96" s="1535">
        <v>171.542395</v>
      </c>
    </row>
    <row r="97" spans="1:8">
      <c r="A97" s="1429" t="s">
        <v>1106</v>
      </c>
      <c r="B97" s="1429" t="s">
        <v>1491</v>
      </c>
      <c r="C97" s="1534">
        <v>0</v>
      </c>
      <c r="D97" s="1534">
        <v>0</v>
      </c>
      <c r="E97" s="1534">
        <v>237.682818</v>
      </c>
      <c r="F97" s="1534">
        <v>0</v>
      </c>
      <c r="G97" s="1534">
        <v>0</v>
      </c>
      <c r="H97" s="1535">
        <v>237.682818</v>
      </c>
    </row>
    <row r="98" spans="1:8">
      <c r="A98" s="1429" t="s">
        <v>1106</v>
      </c>
      <c r="B98" s="1429" t="s">
        <v>1492</v>
      </c>
      <c r="C98" s="1534">
        <v>0</v>
      </c>
      <c r="D98" s="1534">
        <v>0</v>
      </c>
      <c r="E98" s="1534">
        <v>163.84017900000001</v>
      </c>
      <c r="F98" s="1534">
        <v>0</v>
      </c>
      <c r="G98" s="1534">
        <v>0</v>
      </c>
      <c r="H98" s="1535">
        <v>163.84017900000001</v>
      </c>
    </row>
    <row r="99" spans="1:8">
      <c r="A99" s="1429" t="s">
        <v>1106</v>
      </c>
      <c r="B99" s="1429" t="s">
        <v>1493</v>
      </c>
      <c r="C99" s="1534">
        <v>0</v>
      </c>
      <c r="D99" s="1534">
        <v>0</v>
      </c>
      <c r="E99" s="1534">
        <v>544.29466300000001</v>
      </c>
      <c r="F99" s="1534">
        <v>0</v>
      </c>
      <c r="G99" s="1534">
        <v>0</v>
      </c>
      <c r="H99" s="1535">
        <v>544.29466300000001</v>
      </c>
    </row>
    <row r="100" spans="1:8">
      <c r="A100" s="1429" t="s">
        <v>1106</v>
      </c>
      <c r="B100" s="1429" t="s">
        <v>1702</v>
      </c>
      <c r="C100" s="1534">
        <v>0</v>
      </c>
      <c r="D100" s="1534">
        <v>0</v>
      </c>
      <c r="E100" s="1534">
        <v>63.306511</v>
      </c>
      <c r="F100" s="1534">
        <v>0</v>
      </c>
      <c r="G100" s="1534">
        <v>0</v>
      </c>
      <c r="H100" s="1535">
        <v>63.306511</v>
      </c>
    </row>
    <row r="101" spans="1:8">
      <c r="A101" s="1429" t="s">
        <v>1106</v>
      </c>
      <c r="B101" s="1429" t="s">
        <v>1703</v>
      </c>
      <c r="C101" s="1534">
        <v>0</v>
      </c>
      <c r="D101" s="1534">
        <v>0</v>
      </c>
      <c r="E101" s="1534">
        <v>106.53192</v>
      </c>
      <c r="F101" s="1534">
        <v>0</v>
      </c>
      <c r="G101" s="1534">
        <v>0</v>
      </c>
      <c r="H101" s="1535">
        <v>106.53192</v>
      </c>
    </row>
    <row r="102" spans="1:8">
      <c r="A102" s="1429" t="s">
        <v>1106</v>
      </c>
      <c r="B102" s="1429" t="s">
        <v>1494</v>
      </c>
      <c r="C102" s="1534">
        <v>0</v>
      </c>
      <c r="D102" s="1534">
        <v>0</v>
      </c>
      <c r="E102" s="1534">
        <v>111.63188</v>
      </c>
      <c r="F102" s="1534">
        <v>0</v>
      </c>
      <c r="G102" s="1534">
        <v>0</v>
      </c>
      <c r="H102" s="1535">
        <v>111.63188</v>
      </c>
    </row>
    <row r="103" spans="1:8">
      <c r="A103" s="1429" t="s">
        <v>1106</v>
      </c>
      <c r="B103" s="1429" t="s">
        <v>1704</v>
      </c>
      <c r="C103" s="1534">
        <v>0</v>
      </c>
      <c r="D103" s="1534">
        <v>0</v>
      </c>
      <c r="E103" s="1534">
        <v>87.463800000000006</v>
      </c>
      <c r="F103" s="1534">
        <v>0</v>
      </c>
      <c r="G103" s="1534">
        <v>0</v>
      </c>
      <c r="H103" s="1535">
        <v>87.463800000000006</v>
      </c>
    </row>
    <row r="104" spans="1:8">
      <c r="A104" s="1429" t="s">
        <v>1106</v>
      </c>
      <c r="B104" s="1429" t="s">
        <v>1705</v>
      </c>
      <c r="C104" s="1534">
        <v>0</v>
      </c>
      <c r="D104" s="1534">
        <v>0</v>
      </c>
      <c r="E104" s="1534">
        <v>8.8380790000000005</v>
      </c>
      <c r="F104" s="1534">
        <v>0</v>
      </c>
      <c r="G104" s="1534">
        <v>0</v>
      </c>
      <c r="H104" s="1535">
        <v>8.8380790000000005</v>
      </c>
    </row>
    <row r="105" spans="1:8">
      <c r="A105" s="1429" t="s">
        <v>1106</v>
      </c>
      <c r="B105" s="1429" t="s">
        <v>1434</v>
      </c>
      <c r="C105" s="1534">
        <v>0</v>
      </c>
      <c r="D105" s="1534">
        <v>0</v>
      </c>
      <c r="E105" s="1534">
        <v>513.74634500000002</v>
      </c>
      <c r="F105" s="1534">
        <v>0</v>
      </c>
      <c r="G105" s="1534">
        <v>0</v>
      </c>
      <c r="H105" s="1535">
        <v>513.74634500000002</v>
      </c>
    </row>
    <row r="106" spans="1:8">
      <c r="A106" s="1429" t="s">
        <v>1106</v>
      </c>
      <c r="B106" s="1429" t="s">
        <v>1495</v>
      </c>
      <c r="C106" s="1534">
        <v>0</v>
      </c>
      <c r="D106" s="1534">
        <v>0</v>
      </c>
      <c r="E106" s="1534">
        <v>333.20904999999999</v>
      </c>
      <c r="F106" s="1534">
        <v>0</v>
      </c>
      <c r="G106" s="1534">
        <v>0</v>
      </c>
      <c r="H106" s="1535">
        <v>333.20904999999999</v>
      </c>
    </row>
    <row r="107" spans="1:8">
      <c r="A107" s="1429" t="s">
        <v>1106</v>
      </c>
      <c r="B107" s="1429" t="s">
        <v>1435</v>
      </c>
      <c r="C107" s="1534">
        <v>0</v>
      </c>
      <c r="D107" s="1534">
        <v>0</v>
      </c>
      <c r="E107" s="1534">
        <v>456.307839</v>
      </c>
      <c r="F107" s="1534">
        <v>0</v>
      </c>
      <c r="G107" s="1534">
        <v>0</v>
      </c>
      <c r="H107" s="1535">
        <v>456.307839</v>
      </c>
    </row>
    <row r="108" spans="1:8">
      <c r="A108" s="1429" t="s">
        <v>1106</v>
      </c>
      <c r="B108" s="1429" t="s">
        <v>1436</v>
      </c>
      <c r="C108" s="1534">
        <v>0</v>
      </c>
      <c r="D108" s="1534">
        <v>0</v>
      </c>
      <c r="E108" s="1534">
        <v>746.94584699999996</v>
      </c>
      <c r="F108" s="1534">
        <v>0</v>
      </c>
      <c r="G108" s="1534">
        <v>0</v>
      </c>
      <c r="H108" s="1535">
        <v>746.94584699999996</v>
      </c>
    </row>
    <row r="109" spans="1:8">
      <c r="A109" s="1429" t="s">
        <v>1106</v>
      </c>
      <c r="B109" s="1429" t="s">
        <v>1437</v>
      </c>
      <c r="C109" s="1534">
        <v>0</v>
      </c>
      <c r="D109" s="1534">
        <v>0</v>
      </c>
      <c r="E109" s="1534">
        <v>58.851253</v>
      </c>
      <c r="F109" s="1534">
        <v>0</v>
      </c>
      <c r="G109" s="1534">
        <v>0</v>
      </c>
      <c r="H109" s="1535">
        <v>58.851253</v>
      </c>
    </row>
    <row r="110" spans="1:8">
      <c r="A110" s="1429" t="s">
        <v>1106</v>
      </c>
      <c r="B110" s="1429" t="s">
        <v>1496</v>
      </c>
      <c r="C110" s="1534">
        <v>0</v>
      </c>
      <c r="D110" s="1534">
        <v>0</v>
      </c>
      <c r="E110" s="1534">
        <v>251.42089000000001</v>
      </c>
      <c r="F110" s="1534">
        <v>0</v>
      </c>
      <c r="G110" s="1534">
        <v>0</v>
      </c>
      <c r="H110" s="1535">
        <v>251.42089000000001</v>
      </c>
    </row>
    <row r="111" spans="1:8">
      <c r="A111" s="1429" t="s">
        <v>1106</v>
      </c>
      <c r="B111" s="1429" t="s">
        <v>1497</v>
      </c>
      <c r="C111" s="1534">
        <v>0</v>
      </c>
      <c r="D111" s="1534">
        <v>0</v>
      </c>
      <c r="E111" s="1534">
        <v>36.125432000000004</v>
      </c>
      <c r="F111" s="1534">
        <v>0</v>
      </c>
      <c r="G111" s="1534">
        <v>0</v>
      </c>
      <c r="H111" s="1535">
        <v>36.125432000000004</v>
      </c>
    </row>
    <row r="112" spans="1:8">
      <c r="A112" s="1429" t="s">
        <v>1106</v>
      </c>
      <c r="B112" s="1429" t="s">
        <v>2268</v>
      </c>
      <c r="C112" s="1534">
        <v>0</v>
      </c>
      <c r="D112" s="1534">
        <v>0</v>
      </c>
      <c r="E112" s="1534">
        <v>4.0805999999999996</v>
      </c>
      <c r="F112" s="1534">
        <v>0</v>
      </c>
      <c r="G112" s="1534">
        <v>0</v>
      </c>
      <c r="H112" s="1535">
        <v>4.0805999999999996</v>
      </c>
    </row>
    <row r="113" spans="1:8">
      <c r="A113" s="1429" t="s">
        <v>1106</v>
      </c>
      <c r="B113" s="1429" t="s">
        <v>2269</v>
      </c>
      <c r="C113" s="1534">
        <v>194.631439</v>
      </c>
      <c r="D113" s="1534">
        <v>0</v>
      </c>
      <c r="E113" s="1534">
        <v>0</v>
      </c>
      <c r="F113" s="1534">
        <v>0</v>
      </c>
      <c r="G113" s="1534">
        <v>0</v>
      </c>
      <c r="H113" s="1535">
        <v>194.631439</v>
      </c>
    </row>
    <row r="114" spans="1:8">
      <c r="A114" s="1429" t="s">
        <v>1106</v>
      </c>
      <c r="B114" s="1429" t="s">
        <v>1498</v>
      </c>
      <c r="C114" s="1534">
        <v>118.055277</v>
      </c>
      <c r="D114" s="1534">
        <v>0</v>
      </c>
      <c r="E114" s="1534">
        <v>0</v>
      </c>
      <c r="F114" s="1534">
        <v>0</v>
      </c>
      <c r="G114" s="1534">
        <v>0</v>
      </c>
      <c r="H114" s="1535">
        <v>118.055277</v>
      </c>
    </row>
    <row r="115" spans="1:8">
      <c r="A115" s="1429" t="s">
        <v>1106</v>
      </c>
      <c r="B115" s="1429" t="s">
        <v>1501</v>
      </c>
      <c r="C115" s="1534">
        <v>54.930211</v>
      </c>
      <c r="D115" s="1534">
        <v>0</v>
      </c>
      <c r="E115" s="1534">
        <v>0</v>
      </c>
      <c r="F115" s="1534">
        <v>0</v>
      </c>
      <c r="G115" s="1534">
        <v>0</v>
      </c>
      <c r="H115" s="1535">
        <v>54.930211</v>
      </c>
    </row>
    <row r="116" spans="1:8">
      <c r="A116" s="1429" t="s">
        <v>1106</v>
      </c>
      <c r="B116" s="1429" t="s">
        <v>1504</v>
      </c>
      <c r="C116" s="1534">
        <v>41.716850000000001</v>
      </c>
      <c r="D116" s="1534">
        <v>0</v>
      </c>
      <c r="E116" s="1534">
        <v>0</v>
      </c>
      <c r="F116" s="1534">
        <v>0</v>
      </c>
      <c r="G116" s="1534">
        <v>0</v>
      </c>
      <c r="H116" s="1535">
        <v>41.716850000000001</v>
      </c>
    </row>
    <row r="117" spans="1:8">
      <c r="A117" s="1429" t="s">
        <v>1106</v>
      </c>
      <c r="B117" s="1429" t="s">
        <v>1505</v>
      </c>
      <c r="C117" s="1534">
        <v>135.708799</v>
      </c>
      <c r="D117" s="1534">
        <v>0</v>
      </c>
      <c r="E117" s="1534">
        <v>0</v>
      </c>
      <c r="F117" s="1534">
        <v>0</v>
      </c>
      <c r="G117" s="1534">
        <v>0</v>
      </c>
      <c r="H117" s="1535">
        <v>135.708799</v>
      </c>
    </row>
    <row r="118" spans="1:8">
      <c r="A118" s="1429" t="s">
        <v>1106</v>
      </c>
      <c r="B118" s="1429" t="s">
        <v>1717</v>
      </c>
      <c r="C118" s="1534">
        <v>35.767200000000003</v>
      </c>
      <c r="D118" s="1534">
        <v>0</v>
      </c>
      <c r="E118" s="1534">
        <v>0</v>
      </c>
      <c r="F118" s="1534">
        <v>0</v>
      </c>
      <c r="G118" s="1534">
        <v>0</v>
      </c>
      <c r="H118" s="1535">
        <v>35.767200000000003</v>
      </c>
    </row>
    <row r="119" spans="1:8">
      <c r="A119" s="1429" t="s">
        <v>1106</v>
      </c>
      <c r="B119" s="1429" t="s">
        <v>1506</v>
      </c>
      <c r="C119" s="1534">
        <v>326.69505099999998</v>
      </c>
      <c r="D119" s="1534">
        <v>0</v>
      </c>
      <c r="E119" s="1534">
        <v>0</v>
      </c>
      <c r="F119" s="1534">
        <v>0</v>
      </c>
      <c r="G119" s="1534">
        <v>0</v>
      </c>
      <c r="H119" s="1535">
        <v>326.69505099999998</v>
      </c>
    </row>
    <row r="120" spans="1:8">
      <c r="A120" s="1429" t="s">
        <v>1106</v>
      </c>
      <c r="B120" s="1429" t="s">
        <v>1507</v>
      </c>
      <c r="C120" s="1534">
        <v>156.58759800000001</v>
      </c>
      <c r="D120" s="1534">
        <v>0</v>
      </c>
      <c r="E120" s="1534">
        <v>0</v>
      </c>
      <c r="F120" s="1534">
        <v>0</v>
      </c>
      <c r="G120" s="1534">
        <v>0</v>
      </c>
      <c r="H120" s="1535">
        <v>156.58759800000001</v>
      </c>
    </row>
    <row r="121" spans="1:8">
      <c r="A121" s="1429" t="s">
        <v>1106</v>
      </c>
      <c r="B121" s="1429" t="s">
        <v>1438</v>
      </c>
      <c r="C121" s="1534">
        <v>241.459903</v>
      </c>
      <c r="D121" s="1534">
        <v>0</v>
      </c>
      <c r="E121" s="1534">
        <v>0</v>
      </c>
      <c r="F121" s="1534">
        <v>0</v>
      </c>
      <c r="G121" s="1534">
        <v>0</v>
      </c>
      <c r="H121" s="1535">
        <v>241.459903</v>
      </c>
    </row>
    <row r="122" spans="1:8">
      <c r="A122" s="1429" t="s">
        <v>1106</v>
      </c>
      <c r="B122" s="1429" t="s">
        <v>1439</v>
      </c>
      <c r="C122" s="1534">
        <v>146.69675100000001</v>
      </c>
      <c r="D122" s="1534">
        <v>0</v>
      </c>
      <c r="E122" s="1534">
        <v>0</v>
      </c>
      <c r="F122" s="1534">
        <v>0</v>
      </c>
      <c r="G122" s="1534">
        <v>0</v>
      </c>
      <c r="H122" s="1535">
        <v>146.69675100000001</v>
      </c>
    </row>
    <row r="123" spans="1:8">
      <c r="A123" s="1429" t="s">
        <v>1106</v>
      </c>
      <c r="B123" s="1429" t="s">
        <v>1508</v>
      </c>
      <c r="C123" s="1534">
        <v>215.98944399999999</v>
      </c>
      <c r="D123" s="1534">
        <v>0</v>
      </c>
      <c r="E123" s="1534">
        <v>0</v>
      </c>
      <c r="F123" s="1534">
        <v>0</v>
      </c>
      <c r="G123" s="1534">
        <v>0</v>
      </c>
      <c r="H123" s="1535">
        <v>215.98944399999999</v>
      </c>
    </row>
    <row r="124" spans="1:8">
      <c r="A124" s="1429" t="s">
        <v>1106</v>
      </c>
      <c r="B124" s="1429" t="s">
        <v>1509</v>
      </c>
      <c r="C124" s="1534">
        <v>256.29184299999997</v>
      </c>
      <c r="D124" s="1534">
        <v>0</v>
      </c>
      <c r="E124" s="1534">
        <v>0</v>
      </c>
      <c r="F124" s="1534">
        <v>0</v>
      </c>
      <c r="G124" s="1534">
        <v>0</v>
      </c>
      <c r="H124" s="1535">
        <v>256.29184299999997</v>
      </c>
    </row>
    <row r="125" spans="1:8">
      <c r="A125" s="1429" t="s">
        <v>1106</v>
      </c>
      <c r="B125" s="1429" t="s">
        <v>1511</v>
      </c>
      <c r="C125" s="1534">
        <v>-0.55347299999999999</v>
      </c>
      <c r="D125" s="1534">
        <v>0</v>
      </c>
      <c r="E125" s="1534">
        <v>0</v>
      </c>
      <c r="F125" s="1534">
        <v>0</v>
      </c>
      <c r="G125" s="1534">
        <v>0</v>
      </c>
      <c r="H125" s="1535">
        <v>-0.55347299999999999</v>
      </c>
    </row>
    <row r="126" spans="1:8">
      <c r="A126" s="1429" t="s">
        <v>1106</v>
      </c>
      <c r="B126" s="1429" t="s">
        <v>1512</v>
      </c>
      <c r="C126" s="1534">
        <v>136.97438600000001</v>
      </c>
      <c r="D126" s="1534">
        <v>0</v>
      </c>
      <c r="E126" s="1534">
        <v>0</v>
      </c>
      <c r="F126" s="1534">
        <v>0</v>
      </c>
      <c r="G126" s="1534">
        <v>0</v>
      </c>
      <c r="H126" s="1535">
        <v>136.97438600000001</v>
      </c>
    </row>
    <row r="127" spans="1:8">
      <c r="A127" s="1429" t="s">
        <v>1106</v>
      </c>
      <c r="B127" s="1429" t="s">
        <v>1706</v>
      </c>
      <c r="C127" s="1534">
        <v>298.69739800000002</v>
      </c>
      <c r="D127" s="1534">
        <v>0</v>
      </c>
      <c r="E127" s="1534">
        <v>0</v>
      </c>
      <c r="F127" s="1534">
        <v>0</v>
      </c>
      <c r="G127" s="1534">
        <v>0</v>
      </c>
      <c r="H127" s="1535">
        <v>298.69739800000002</v>
      </c>
    </row>
    <row r="128" spans="1:8">
      <c r="A128" s="1429" t="s">
        <v>1106</v>
      </c>
      <c r="B128" s="1429" t="s">
        <v>1514</v>
      </c>
      <c r="C128" s="1534">
        <v>171.30747099999999</v>
      </c>
      <c r="D128" s="1534">
        <v>0</v>
      </c>
      <c r="E128" s="1534">
        <v>0</v>
      </c>
      <c r="F128" s="1534">
        <v>0</v>
      </c>
      <c r="G128" s="1534">
        <v>0</v>
      </c>
      <c r="H128" s="1535">
        <v>171.30747099999999</v>
      </c>
    </row>
    <row r="129" spans="1:8">
      <c r="A129" s="1429" t="s">
        <v>1106</v>
      </c>
      <c r="B129" s="1429" t="s">
        <v>1440</v>
      </c>
      <c r="C129" s="1534">
        <v>507.05891700000001</v>
      </c>
      <c r="D129" s="1534">
        <v>0</v>
      </c>
      <c r="E129" s="1534">
        <v>0</v>
      </c>
      <c r="F129" s="1534">
        <v>0</v>
      </c>
      <c r="G129" s="1534">
        <v>0</v>
      </c>
      <c r="H129" s="1535">
        <v>507.05891700000001</v>
      </c>
    </row>
    <row r="130" spans="1:8">
      <c r="A130" s="1429" t="s">
        <v>1106</v>
      </c>
      <c r="B130" s="1429" t="s">
        <v>1515</v>
      </c>
      <c r="C130" s="1534">
        <v>142.51012900000001</v>
      </c>
      <c r="D130" s="1534">
        <v>0</v>
      </c>
      <c r="E130" s="1534">
        <v>0</v>
      </c>
      <c r="F130" s="1534">
        <v>0</v>
      </c>
      <c r="G130" s="1534">
        <v>0</v>
      </c>
      <c r="H130" s="1535">
        <v>142.51012900000001</v>
      </c>
    </row>
    <row r="131" spans="1:8">
      <c r="A131" s="1429" t="s">
        <v>1106</v>
      </c>
      <c r="B131" s="1429" t="s">
        <v>1516</v>
      </c>
      <c r="C131" s="1534">
        <v>246.20533900000001</v>
      </c>
      <c r="D131" s="1534">
        <v>0</v>
      </c>
      <c r="E131" s="1534">
        <v>0</v>
      </c>
      <c r="F131" s="1534">
        <v>0</v>
      </c>
      <c r="G131" s="1534">
        <v>0</v>
      </c>
      <c r="H131" s="1535">
        <v>246.20533900000001</v>
      </c>
    </row>
    <row r="132" spans="1:8">
      <c r="A132" s="1429" t="s">
        <v>1106</v>
      </c>
      <c r="B132" s="1429" t="s">
        <v>1517</v>
      </c>
      <c r="C132" s="1534">
        <v>58.428280000000001</v>
      </c>
      <c r="D132" s="1534">
        <v>0</v>
      </c>
      <c r="E132" s="1534">
        <v>0</v>
      </c>
      <c r="F132" s="1534">
        <v>0</v>
      </c>
      <c r="G132" s="1534">
        <v>0</v>
      </c>
      <c r="H132" s="1535">
        <v>58.428280000000001</v>
      </c>
    </row>
    <row r="133" spans="1:8">
      <c r="A133" s="1429" t="s">
        <v>1106</v>
      </c>
      <c r="B133" s="1429" t="s">
        <v>1441</v>
      </c>
      <c r="C133" s="1534">
        <v>103.089107</v>
      </c>
      <c r="D133" s="1534">
        <v>0</v>
      </c>
      <c r="E133" s="1534">
        <v>0</v>
      </c>
      <c r="F133" s="1534">
        <v>0</v>
      </c>
      <c r="G133" s="1534">
        <v>0</v>
      </c>
      <c r="H133" s="1535">
        <v>103.089107</v>
      </c>
    </row>
    <row r="134" spans="1:8">
      <c r="A134" s="1429" t="s">
        <v>1106</v>
      </c>
      <c r="B134" s="1429" t="s">
        <v>1519</v>
      </c>
      <c r="C134" s="1534">
        <v>120.381775</v>
      </c>
      <c r="D134" s="1534">
        <v>0</v>
      </c>
      <c r="E134" s="1534">
        <v>0</v>
      </c>
      <c r="F134" s="1534">
        <v>0</v>
      </c>
      <c r="G134" s="1534">
        <v>0</v>
      </c>
      <c r="H134" s="1535">
        <v>120.381775</v>
      </c>
    </row>
    <row r="135" spans="1:8">
      <c r="A135" s="1429" t="s">
        <v>1106</v>
      </c>
      <c r="B135" s="1429" t="s">
        <v>1520</v>
      </c>
      <c r="C135" s="1534">
        <v>178.17438799999999</v>
      </c>
      <c r="D135" s="1534">
        <v>0</v>
      </c>
      <c r="E135" s="1534">
        <v>0</v>
      </c>
      <c r="F135" s="1534">
        <v>0</v>
      </c>
      <c r="G135" s="1534">
        <v>0</v>
      </c>
      <c r="H135" s="1535">
        <v>178.17438799999999</v>
      </c>
    </row>
    <row r="136" spans="1:8">
      <c r="A136" s="1429" t="s">
        <v>1106</v>
      </c>
      <c r="B136" s="1429" t="s">
        <v>1521</v>
      </c>
      <c r="C136" s="1534">
        <v>140.88330500000001</v>
      </c>
      <c r="D136" s="1534">
        <v>0</v>
      </c>
      <c r="E136" s="1534">
        <v>0</v>
      </c>
      <c r="F136" s="1534">
        <v>0</v>
      </c>
      <c r="G136" s="1534">
        <v>0</v>
      </c>
      <c r="H136" s="1535">
        <v>140.88330500000001</v>
      </c>
    </row>
    <row r="137" spans="1:8">
      <c r="A137" s="1429" t="s">
        <v>1106</v>
      </c>
      <c r="B137" s="1429" t="s">
        <v>1522</v>
      </c>
      <c r="C137" s="1534">
        <v>58.491304999999997</v>
      </c>
      <c r="D137" s="1534">
        <v>0</v>
      </c>
      <c r="E137" s="1534">
        <v>0</v>
      </c>
      <c r="F137" s="1534">
        <v>0</v>
      </c>
      <c r="G137" s="1534">
        <v>0</v>
      </c>
      <c r="H137" s="1535">
        <v>58.491304999999997</v>
      </c>
    </row>
    <row r="138" spans="1:8">
      <c r="A138" s="1429" t="s">
        <v>1106</v>
      </c>
      <c r="B138" s="1429" t="s">
        <v>1444</v>
      </c>
      <c r="C138" s="1534">
        <v>369.28842300000002</v>
      </c>
      <c r="D138" s="1534">
        <v>0</v>
      </c>
      <c r="E138" s="1534">
        <v>0</v>
      </c>
      <c r="F138" s="1534">
        <v>0</v>
      </c>
      <c r="G138" s="1534">
        <v>0</v>
      </c>
      <c r="H138" s="1535">
        <v>369.28842300000002</v>
      </c>
    </row>
    <row r="139" spans="1:8">
      <c r="A139" s="1429" t="s">
        <v>1106</v>
      </c>
      <c r="B139" s="1429" t="s">
        <v>1524</v>
      </c>
      <c r="C139" s="1534">
        <v>422.784223</v>
      </c>
      <c r="D139" s="1534">
        <v>0</v>
      </c>
      <c r="E139" s="1534">
        <v>0</v>
      </c>
      <c r="F139" s="1534">
        <v>0</v>
      </c>
      <c r="G139" s="1534">
        <v>0</v>
      </c>
      <c r="H139" s="1535">
        <v>422.784223</v>
      </c>
    </row>
    <row r="140" spans="1:8">
      <c r="A140" s="1429" t="s">
        <v>1106</v>
      </c>
      <c r="B140" s="1429" t="s">
        <v>1525</v>
      </c>
      <c r="C140" s="1534">
        <v>79.815754999999996</v>
      </c>
      <c r="D140" s="1534">
        <v>0</v>
      </c>
      <c r="E140" s="1534">
        <v>0</v>
      </c>
      <c r="F140" s="1534">
        <v>0</v>
      </c>
      <c r="G140" s="1534">
        <v>0</v>
      </c>
      <c r="H140" s="1535">
        <v>79.815754999999996</v>
      </c>
    </row>
    <row r="141" spans="1:8">
      <c r="A141" s="1429" t="s">
        <v>1106</v>
      </c>
      <c r="B141" s="1429" t="s">
        <v>1526</v>
      </c>
      <c r="C141" s="1534">
        <v>29.841211000000001</v>
      </c>
      <c r="D141" s="1534">
        <v>0</v>
      </c>
      <c r="E141" s="1534">
        <v>0</v>
      </c>
      <c r="F141" s="1534">
        <v>0</v>
      </c>
      <c r="G141" s="1534">
        <v>0</v>
      </c>
      <c r="H141" s="1535">
        <v>29.841211000000001</v>
      </c>
    </row>
    <row r="142" spans="1:8">
      <c r="A142" s="1429" t="s">
        <v>1106</v>
      </c>
      <c r="B142" s="1429" t="s">
        <v>1527</v>
      </c>
      <c r="C142" s="1534">
        <v>23.902678000000002</v>
      </c>
      <c r="D142" s="1534">
        <v>0</v>
      </c>
      <c r="E142" s="1534">
        <v>0</v>
      </c>
      <c r="F142" s="1534">
        <v>0</v>
      </c>
      <c r="G142" s="1534">
        <v>0</v>
      </c>
      <c r="H142" s="1535">
        <v>23.902678000000002</v>
      </c>
    </row>
    <row r="143" spans="1:8">
      <c r="A143" s="1429" t="s">
        <v>1106</v>
      </c>
      <c r="B143" s="1429" t="s">
        <v>1528</v>
      </c>
      <c r="C143" s="1534">
        <v>212.332291</v>
      </c>
      <c r="D143" s="1534">
        <v>0</v>
      </c>
      <c r="E143" s="1534">
        <v>0</v>
      </c>
      <c r="F143" s="1534">
        <v>0</v>
      </c>
      <c r="G143" s="1534">
        <v>0</v>
      </c>
      <c r="H143" s="1535">
        <v>212.332291</v>
      </c>
    </row>
    <row r="144" spans="1:8">
      <c r="A144" s="1429" t="s">
        <v>1106</v>
      </c>
      <c r="B144" s="1429" t="s">
        <v>1529</v>
      </c>
      <c r="C144" s="1534">
        <v>114.56949299999999</v>
      </c>
      <c r="D144" s="1534">
        <v>0</v>
      </c>
      <c r="E144" s="1534">
        <v>0</v>
      </c>
      <c r="F144" s="1534">
        <v>0</v>
      </c>
      <c r="G144" s="1534">
        <v>0</v>
      </c>
      <c r="H144" s="1535">
        <v>114.56949299999999</v>
      </c>
    </row>
    <row r="145" spans="1:8">
      <c r="A145" s="1429" t="s">
        <v>1106</v>
      </c>
      <c r="B145" s="1429" t="s">
        <v>1530</v>
      </c>
      <c r="C145" s="1534">
        <v>100.004598</v>
      </c>
      <c r="D145" s="1534">
        <v>0</v>
      </c>
      <c r="E145" s="1534">
        <v>0</v>
      </c>
      <c r="F145" s="1534">
        <v>0</v>
      </c>
      <c r="G145" s="1534">
        <v>0</v>
      </c>
      <c r="H145" s="1535">
        <v>100.004598</v>
      </c>
    </row>
    <row r="146" spans="1:8">
      <c r="A146" s="1429" t="s">
        <v>1106</v>
      </c>
      <c r="B146" s="1429" t="s">
        <v>1445</v>
      </c>
      <c r="C146" s="1534">
        <v>218.13940400000001</v>
      </c>
      <c r="D146" s="1534">
        <v>0</v>
      </c>
      <c r="E146" s="1534">
        <v>0</v>
      </c>
      <c r="F146" s="1534">
        <v>0</v>
      </c>
      <c r="G146" s="1534">
        <v>0</v>
      </c>
      <c r="H146" s="1535">
        <v>218.13940400000001</v>
      </c>
    </row>
    <row r="147" spans="1:8">
      <c r="A147" s="1429" t="s">
        <v>1106</v>
      </c>
      <c r="B147" s="1429" t="s">
        <v>1446</v>
      </c>
      <c r="C147" s="1534">
        <v>138.806005</v>
      </c>
      <c r="D147" s="1534">
        <v>0</v>
      </c>
      <c r="E147" s="1534">
        <v>0</v>
      </c>
      <c r="F147" s="1534">
        <v>0</v>
      </c>
      <c r="G147" s="1534">
        <v>0</v>
      </c>
      <c r="H147" s="1535">
        <v>138.806005</v>
      </c>
    </row>
    <row r="148" spans="1:8">
      <c r="A148" s="1429" t="s">
        <v>1106</v>
      </c>
      <c r="B148" s="1429" t="s">
        <v>1532</v>
      </c>
      <c r="C148" s="1534">
        <v>132.58187599999999</v>
      </c>
      <c r="D148" s="1534">
        <v>0</v>
      </c>
      <c r="E148" s="1534">
        <v>0</v>
      </c>
      <c r="F148" s="1534">
        <v>0</v>
      </c>
      <c r="G148" s="1534">
        <v>0</v>
      </c>
      <c r="H148" s="1535">
        <v>132.58187599999999</v>
      </c>
    </row>
    <row r="149" spans="1:8">
      <c r="A149" s="1429" t="s">
        <v>1106</v>
      </c>
      <c r="B149" s="1429" t="s">
        <v>1538</v>
      </c>
      <c r="C149" s="1534">
        <v>365.557074</v>
      </c>
      <c r="D149" s="1534">
        <v>0</v>
      </c>
      <c r="E149" s="1534">
        <v>0</v>
      </c>
      <c r="F149" s="1534">
        <v>0</v>
      </c>
      <c r="G149" s="1534">
        <v>0</v>
      </c>
      <c r="H149" s="1535">
        <v>365.557074</v>
      </c>
    </row>
    <row r="150" spans="1:8">
      <c r="A150" s="1429" t="s">
        <v>1106</v>
      </c>
      <c r="B150" s="1429" t="s">
        <v>1533</v>
      </c>
      <c r="C150" s="1534">
        <v>194.44962899999999</v>
      </c>
      <c r="D150" s="1534">
        <v>0</v>
      </c>
      <c r="E150" s="1534">
        <v>0</v>
      </c>
      <c r="F150" s="1534">
        <v>0</v>
      </c>
      <c r="G150" s="1534">
        <v>0</v>
      </c>
      <c r="H150" s="1535">
        <v>194.44962899999999</v>
      </c>
    </row>
    <row r="151" spans="1:8">
      <c r="A151" s="1429" t="s">
        <v>1106</v>
      </c>
      <c r="B151" s="1429" t="s">
        <v>1534</v>
      </c>
      <c r="C151" s="1534">
        <v>61.081431000000002</v>
      </c>
      <c r="D151" s="1534">
        <v>0</v>
      </c>
      <c r="E151" s="1534">
        <v>0</v>
      </c>
      <c r="F151" s="1534">
        <v>0</v>
      </c>
      <c r="G151" s="1534">
        <v>0</v>
      </c>
      <c r="H151" s="1535">
        <v>61.081431000000002</v>
      </c>
    </row>
    <row r="152" spans="1:8">
      <c r="A152" s="1429" t="s">
        <v>1106</v>
      </c>
      <c r="B152" s="1429" t="s">
        <v>1447</v>
      </c>
      <c r="C152" s="1534">
        <v>173.13256799999999</v>
      </c>
      <c r="D152" s="1534">
        <v>0</v>
      </c>
      <c r="E152" s="1534">
        <v>0</v>
      </c>
      <c r="F152" s="1534">
        <v>0</v>
      </c>
      <c r="G152" s="1534">
        <v>0</v>
      </c>
      <c r="H152" s="1535">
        <v>173.13256799999999</v>
      </c>
    </row>
    <row r="153" spans="1:8">
      <c r="A153" s="1429" t="s">
        <v>1106</v>
      </c>
      <c r="B153" s="1429" t="s">
        <v>1535</v>
      </c>
      <c r="C153" s="1534">
        <v>128.712571</v>
      </c>
      <c r="D153" s="1534">
        <v>0</v>
      </c>
      <c r="E153" s="1534">
        <v>0</v>
      </c>
      <c r="F153" s="1534">
        <v>0</v>
      </c>
      <c r="G153" s="1534">
        <v>0</v>
      </c>
      <c r="H153" s="1535">
        <v>128.712571</v>
      </c>
    </row>
    <row r="154" spans="1:8">
      <c r="A154" s="1429" t="s">
        <v>1106</v>
      </c>
      <c r="B154" s="1429" t="s">
        <v>1536</v>
      </c>
      <c r="C154" s="1534">
        <v>69.628242</v>
      </c>
      <c r="D154" s="1534">
        <v>0</v>
      </c>
      <c r="E154" s="1534">
        <v>0</v>
      </c>
      <c r="F154" s="1534">
        <v>0</v>
      </c>
      <c r="G154" s="1534">
        <v>0</v>
      </c>
      <c r="H154" s="1535">
        <v>69.628242</v>
      </c>
    </row>
    <row r="155" spans="1:8">
      <c r="A155" s="1429" t="s">
        <v>1106</v>
      </c>
      <c r="B155" s="1429" t="s">
        <v>1537</v>
      </c>
      <c r="C155" s="1534">
        <v>362.925366</v>
      </c>
      <c r="D155" s="1534">
        <v>0</v>
      </c>
      <c r="E155" s="1534">
        <v>0</v>
      </c>
      <c r="F155" s="1534">
        <v>0</v>
      </c>
      <c r="G155" s="1534">
        <v>0</v>
      </c>
      <c r="H155" s="1535">
        <v>362.925366</v>
      </c>
    </row>
    <row r="156" spans="1:8">
      <c r="A156" s="1429" t="s">
        <v>1106</v>
      </c>
      <c r="B156" s="1429" t="s">
        <v>1448</v>
      </c>
      <c r="C156" s="1534">
        <v>388.09270900000001</v>
      </c>
      <c r="D156" s="1534">
        <v>0</v>
      </c>
      <c r="E156" s="1534">
        <v>0</v>
      </c>
      <c r="F156" s="1534">
        <v>0</v>
      </c>
      <c r="G156" s="1534">
        <v>0</v>
      </c>
      <c r="H156" s="1535">
        <v>388.09270900000001</v>
      </c>
    </row>
    <row r="157" spans="1:8">
      <c r="A157" s="1429" t="s">
        <v>1106</v>
      </c>
      <c r="B157" s="1429" t="s">
        <v>1539</v>
      </c>
      <c r="C157" s="1534">
        <v>89.886865</v>
      </c>
      <c r="D157" s="1534">
        <v>0</v>
      </c>
      <c r="E157" s="1534">
        <v>0</v>
      </c>
      <c r="F157" s="1534">
        <v>0</v>
      </c>
      <c r="G157" s="1534">
        <v>0</v>
      </c>
      <c r="H157" s="1535">
        <v>89.886865</v>
      </c>
    </row>
    <row r="158" spans="1:8">
      <c r="A158" s="1429" t="s">
        <v>1106</v>
      </c>
      <c r="B158" s="1429" t="s">
        <v>1541</v>
      </c>
      <c r="C158" s="1534">
        <v>58.875641999999999</v>
      </c>
      <c r="D158" s="1534">
        <v>0</v>
      </c>
      <c r="E158" s="1534">
        <v>0</v>
      </c>
      <c r="F158" s="1534">
        <v>0</v>
      </c>
      <c r="G158" s="1534">
        <v>0</v>
      </c>
      <c r="H158" s="1535">
        <v>58.875641999999999</v>
      </c>
    </row>
    <row r="159" spans="1:8">
      <c r="A159" s="1429" t="s">
        <v>1106</v>
      </c>
      <c r="B159" s="1429" t="s">
        <v>2270</v>
      </c>
      <c r="C159" s="1534">
        <v>176.63695799999999</v>
      </c>
      <c r="D159" s="1534">
        <v>0</v>
      </c>
      <c r="E159" s="1534">
        <v>0</v>
      </c>
      <c r="F159" s="1534">
        <v>0</v>
      </c>
      <c r="G159" s="1534">
        <v>0</v>
      </c>
      <c r="H159" s="1535">
        <v>176.63695799999999</v>
      </c>
    </row>
    <row r="160" spans="1:8">
      <c r="A160" s="1429" t="s">
        <v>1106</v>
      </c>
      <c r="B160" s="1429" t="s">
        <v>1449</v>
      </c>
      <c r="C160" s="1534">
        <v>289.031969</v>
      </c>
      <c r="D160" s="1534">
        <v>0</v>
      </c>
      <c r="E160" s="1534">
        <v>0</v>
      </c>
      <c r="F160" s="1534">
        <v>0</v>
      </c>
      <c r="G160" s="1534">
        <v>0</v>
      </c>
      <c r="H160" s="1535">
        <v>289.031969</v>
      </c>
    </row>
    <row r="161" spans="1:8">
      <c r="A161" s="1429" t="s">
        <v>1106</v>
      </c>
      <c r="B161" s="1429" t="s">
        <v>1698</v>
      </c>
      <c r="C161" s="1534">
        <v>170.544568</v>
      </c>
      <c r="D161" s="1534">
        <v>0</v>
      </c>
      <c r="E161" s="1534">
        <v>0</v>
      </c>
      <c r="F161" s="1534">
        <v>0</v>
      </c>
      <c r="G161" s="1534">
        <v>0</v>
      </c>
      <c r="H161" s="1535">
        <v>170.544568</v>
      </c>
    </row>
    <row r="162" spans="1:8">
      <c r="A162" s="1429" t="s">
        <v>1106</v>
      </c>
      <c r="B162" s="1429" t="s">
        <v>1699</v>
      </c>
      <c r="C162" s="1534">
        <v>280.12144699999999</v>
      </c>
      <c r="D162" s="1534">
        <v>0</v>
      </c>
      <c r="E162" s="1534">
        <v>0</v>
      </c>
      <c r="F162" s="1534">
        <v>0</v>
      </c>
      <c r="G162" s="1534">
        <v>0</v>
      </c>
      <c r="H162" s="1535">
        <v>280.12144699999999</v>
      </c>
    </row>
    <row r="163" spans="1:8">
      <c r="A163" s="1429" t="s">
        <v>1106</v>
      </c>
      <c r="B163" s="1429" t="s">
        <v>1450</v>
      </c>
      <c r="C163" s="1534">
        <v>398.97591599999998</v>
      </c>
      <c r="D163" s="1534">
        <v>0</v>
      </c>
      <c r="E163" s="1534">
        <v>0</v>
      </c>
      <c r="F163" s="1534">
        <v>0</v>
      </c>
      <c r="G163" s="1534">
        <v>0</v>
      </c>
      <c r="H163" s="1535">
        <v>398.97591599999998</v>
      </c>
    </row>
    <row r="164" spans="1:8">
      <c r="A164" s="1429" t="s">
        <v>1106</v>
      </c>
      <c r="B164" s="1429" t="s">
        <v>1542</v>
      </c>
      <c r="C164" s="1534">
        <v>185.34625500000001</v>
      </c>
      <c r="D164" s="1534">
        <v>0</v>
      </c>
      <c r="E164" s="1534">
        <v>0</v>
      </c>
      <c r="F164" s="1534">
        <v>0</v>
      </c>
      <c r="G164" s="1534">
        <v>0</v>
      </c>
      <c r="H164" s="1535">
        <v>185.34625500000001</v>
      </c>
    </row>
    <row r="165" spans="1:8">
      <c r="A165" s="1429" t="s">
        <v>1106</v>
      </c>
      <c r="B165" s="1429" t="s">
        <v>1700</v>
      </c>
      <c r="C165" s="1534">
        <v>21.128</v>
      </c>
      <c r="D165" s="1534">
        <v>0</v>
      </c>
      <c r="E165" s="1534">
        <v>0</v>
      </c>
      <c r="F165" s="1534">
        <v>0</v>
      </c>
      <c r="G165" s="1534">
        <v>0</v>
      </c>
      <c r="H165" s="1535">
        <v>21.128</v>
      </c>
    </row>
    <row r="166" spans="1:8">
      <c r="A166" s="1429" t="s">
        <v>1106</v>
      </c>
      <c r="B166" s="1429" t="s">
        <v>1543</v>
      </c>
      <c r="C166" s="1534">
        <v>69.267472999999995</v>
      </c>
      <c r="D166" s="1534">
        <v>0</v>
      </c>
      <c r="E166" s="1534">
        <v>0</v>
      </c>
      <c r="F166" s="1534">
        <v>0</v>
      </c>
      <c r="G166" s="1534">
        <v>0</v>
      </c>
      <c r="H166" s="1535">
        <v>69.267472999999995</v>
      </c>
    </row>
    <row r="167" spans="1:8">
      <c r="A167" s="1429" t="s">
        <v>1106</v>
      </c>
      <c r="B167" s="1429" t="s">
        <v>1707</v>
      </c>
      <c r="C167" s="1534">
        <v>174.33895999999999</v>
      </c>
      <c r="D167" s="1534">
        <v>0</v>
      </c>
      <c r="E167" s="1534">
        <v>0</v>
      </c>
      <c r="F167" s="1534">
        <v>0</v>
      </c>
      <c r="G167" s="1534">
        <v>0</v>
      </c>
      <c r="H167" s="1535">
        <v>174.33895999999999</v>
      </c>
    </row>
    <row r="168" spans="1:8">
      <c r="A168" s="1429" t="s">
        <v>1106</v>
      </c>
      <c r="B168" s="1429" t="s">
        <v>1708</v>
      </c>
      <c r="C168" s="1534">
        <v>0</v>
      </c>
      <c r="D168" s="1534">
        <v>0</v>
      </c>
      <c r="E168" s="1534">
        <v>0</v>
      </c>
      <c r="F168" s="1534">
        <v>0</v>
      </c>
      <c r="G168" s="1534">
        <v>0</v>
      </c>
      <c r="H168" s="1535">
        <v>0</v>
      </c>
    </row>
    <row r="169" spans="1:8">
      <c r="A169" s="1429" t="s">
        <v>1106</v>
      </c>
      <c r="B169" s="1429" t="s">
        <v>1451</v>
      </c>
      <c r="C169" s="1534">
        <v>446.53471100000002</v>
      </c>
      <c r="D169" s="1534">
        <v>0</v>
      </c>
      <c r="E169" s="1534">
        <v>0</v>
      </c>
      <c r="F169" s="1534">
        <v>0</v>
      </c>
      <c r="G169" s="1534">
        <v>0</v>
      </c>
      <c r="H169" s="1535">
        <v>446.53471100000002</v>
      </c>
    </row>
    <row r="170" spans="1:8">
      <c r="A170" s="1429" t="s">
        <v>1106</v>
      </c>
      <c r="B170" s="1429" t="s">
        <v>1709</v>
      </c>
      <c r="C170" s="1534">
        <v>0</v>
      </c>
      <c r="D170" s="1534">
        <v>0</v>
      </c>
      <c r="E170" s="1534">
        <v>0</v>
      </c>
      <c r="F170" s="1534">
        <v>0</v>
      </c>
      <c r="G170" s="1534">
        <v>0</v>
      </c>
      <c r="H170" s="1535">
        <v>0</v>
      </c>
    </row>
    <row r="171" spans="1:8">
      <c r="A171" s="1429" t="s">
        <v>1106</v>
      </c>
      <c r="B171" s="1429" t="s">
        <v>1546</v>
      </c>
      <c r="C171" s="1534">
        <v>88.952526000000006</v>
      </c>
      <c r="D171" s="1534">
        <v>0</v>
      </c>
      <c r="E171" s="1534">
        <v>0</v>
      </c>
      <c r="F171" s="1534">
        <v>0</v>
      </c>
      <c r="G171" s="1534">
        <v>0</v>
      </c>
      <c r="H171" s="1535">
        <v>88.952526000000006</v>
      </c>
    </row>
    <row r="172" spans="1:8">
      <c r="A172" s="1429" t="s">
        <v>1106</v>
      </c>
      <c r="B172" s="1429" t="s">
        <v>1452</v>
      </c>
      <c r="C172" s="1534">
        <v>202.79804799999999</v>
      </c>
      <c r="D172" s="1534">
        <v>0</v>
      </c>
      <c r="E172" s="1534">
        <v>0</v>
      </c>
      <c r="F172" s="1534">
        <v>0</v>
      </c>
      <c r="G172" s="1534">
        <v>0</v>
      </c>
      <c r="H172" s="1535">
        <v>202.79804799999999</v>
      </c>
    </row>
    <row r="173" spans="1:8">
      <c r="A173" s="1429" t="s">
        <v>1106</v>
      </c>
      <c r="B173" s="1429" t="s">
        <v>1453</v>
      </c>
      <c r="C173" s="1534">
        <v>184.964902</v>
      </c>
      <c r="D173" s="1534">
        <v>0</v>
      </c>
      <c r="E173" s="1534">
        <v>0</v>
      </c>
      <c r="F173" s="1534">
        <v>0</v>
      </c>
      <c r="G173" s="1534">
        <v>0</v>
      </c>
      <c r="H173" s="1535">
        <v>184.964902</v>
      </c>
    </row>
    <row r="174" spans="1:8">
      <c r="A174" s="1429" t="s">
        <v>1106</v>
      </c>
      <c r="B174" s="1429" t="s">
        <v>1547</v>
      </c>
      <c r="C174" s="1534">
        <v>285.963731</v>
      </c>
      <c r="D174" s="1534">
        <v>0</v>
      </c>
      <c r="E174" s="1534">
        <v>0</v>
      </c>
      <c r="F174" s="1534">
        <v>0</v>
      </c>
      <c r="G174" s="1534">
        <v>0</v>
      </c>
      <c r="H174" s="1535">
        <v>285.963731</v>
      </c>
    </row>
    <row r="175" spans="1:8">
      <c r="A175" s="1429" t="s">
        <v>1106</v>
      </c>
      <c r="B175" s="1429" t="s">
        <v>1548</v>
      </c>
      <c r="C175" s="1534">
        <v>107.594178</v>
      </c>
      <c r="D175" s="1534">
        <v>0</v>
      </c>
      <c r="E175" s="1534">
        <v>0</v>
      </c>
      <c r="F175" s="1534">
        <v>0</v>
      </c>
      <c r="G175" s="1534">
        <v>0</v>
      </c>
      <c r="H175" s="1535">
        <v>107.594178</v>
      </c>
    </row>
    <row r="176" spans="1:8">
      <c r="A176" s="1429" t="s">
        <v>1106</v>
      </c>
      <c r="B176" s="1429" t="s">
        <v>1499</v>
      </c>
      <c r="C176" s="1534">
        <v>188.59283500000001</v>
      </c>
      <c r="D176" s="1534">
        <v>0</v>
      </c>
      <c r="E176" s="1534">
        <v>0</v>
      </c>
      <c r="F176" s="1534">
        <v>0</v>
      </c>
      <c r="G176" s="1534">
        <v>0</v>
      </c>
      <c r="H176" s="1535">
        <v>188.59283500000001</v>
      </c>
    </row>
    <row r="177" spans="1:8">
      <c r="A177" s="1429" t="s">
        <v>1106</v>
      </c>
      <c r="B177" s="1429" t="s">
        <v>1500</v>
      </c>
      <c r="C177" s="1534">
        <v>59.111598999999998</v>
      </c>
      <c r="D177" s="1534">
        <v>0</v>
      </c>
      <c r="E177" s="1534">
        <v>0</v>
      </c>
      <c r="F177" s="1534">
        <v>0</v>
      </c>
      <c r="G177" s="1534">
        <v>0</v>
      </c>
      <c r="H177" s="1535">
        <v>59.111598999999998</v>
      </c>
    </row>
    <row r="178" spans="1:8">
      <c r="A178" s="1429" t="s">
        <v>1106</v>
      </c>
      <c r="B178" s="1429" t="s">
        <v>1455</v>
      </c>
      <c r="C178" s="1534">
        <v>0</v>
      </c>
      <c r="D178" s="1534">
        <v>0</v>
      </c>
      <c r="E178" s="1534">
        <v>304.21751499999999</v>
      </c>
      <c r="F178" s="1534">
        <v>0</v>
      </c>
      <c r="G178" s="1534">
        <v>0</v>
      </c>
      <c r="H178" s="1535">
        <v>304.21751499999999</v>
      </c>
    </row>
    <row r="179" spans="1:8">
      <c r="A179" s="1429" t="s">
        <v>1106</v>
      </c>
      <c r="B179" s="1429" t="s">
        <v>1456</v>
      </c>
      <c r="C179" s="1534">
        <v>0</v>
      </c>
      <c r="D179" s="1534">
        <v>0</v>
      </c>
      <c r="E179" s="1534">
        <v>62.738900000000001</v>
      </c>
      <c r="F179" s="1534">
        <v>0</v>
      </c>
      <c r="G179" s="1534">
        <v>0</v>
      </c>
      <c r="H179" s="1535">
        <v>62.738900000000001</v>
      </c>
    </row>
    <row r="180" spans="1:8">
      <c r="A180" s="1429" t="s">
        <v>1106</v>
      </c>
      <c r="B180" s="1429" t="s">
        <v>1502</v>
      </c>
      <c r="C180" s="1534">
        <v>101.310787</v>
      </c>
      <c r="D180" s="1534">
        <v>0</v>
      </c>
      <c r="E180" s="1534">
        <v>0</v>
      </c>
      <c r="F180" s="1534">
        <v>0</v>
      </c>
      <c r="G180" s="1534">
        <v>0</v>
      </c>
      <c r="H180" s="1535">
        <v>101.310787</v>
      </c>
    </row>
    <row r="181" spans="1:8">
      <c r="A181" s="1429" t="s">
        <v>1106</v>
      </c>
      <c r="B181" s="1429" t="s">
        <v>1503</v>
      </c>
      <c r="C181" s="1534">
        <v>137.47304</v>
      </c>
      <c r="D181" s="1534">
        <v>0</v>
      </c>
      <c r="E181" s="1534">
        <v>0</v>
      </c>
      <c r="F181" s="1534">
        <v>0</v>
      </c>
      <c r="G181" s="1534">
        <v>0</v>
      </c>
      <c r="H181" s="1535">
        <v>137.47304</v>
      </c>
    </row>
    <row r="182" spans="1:8">
      <c r="A182" s="1429" t="s">
        <v>1106</v>
      </c>
      <c r="B182" s="1429" t="s">
        <v>1710</v>
      </c>
      <c r="C182" s="1534">
        <v>0</v>
      </c>
      <c r="D182" s="1534">
        <v>0</v>
      </c>
      <c r="E182" s="1534">
        <v>58.014000000000003</v>
      </c>
      <c r="F182" s="1534">
        <v>0</v>
      </c>
      <c r="G182" s="1534">
        <v>0</v>
      </c>
      <c r="H182" s="1535">
        <v>58.014000000000003</v>
      </c>
    </row>
    <row r="183" spans="1:8">
      <c r="A183" s="1429" t="s">
        <v>1106</v>
      </c>
      <c r="B183" s="1429" t="s">
        <v>1510</v>
      </c>
      <c r="C183" s="1534">
        <v>102.342735</v>
      </c>
      <c r="D183" s="1534">
        <v>0</v>
      </c>
      <c r="E183" s="1534">
        <v>0</v>
      </c>
      <c r="F183" s="1534">
        <v>0</v>
      </c>
      <c r="G183" s="1534">
        <v>0</v>
      </c>
      <c r="H183" s="1535">
        <v>102.342735</v>
      </c>
    </row>
    <row r="184" spans="1:8">
      <c r="A184" s="1429" t="s">
        <v>1106</v>
      </c>
      <c r="B184" s="1429" t="s">
        <v>1513</v>
      </c>
      <c r="C184" s="1534">
        <v>255.58321799999999</v>
      </c>
      <c r="D184" s="1534">
        <v>0</v>
      </c>
      <c r="E184" s="1534">
        <v>0</v>
      </c>
      <c r="F184" s="1534">
        <v>0</v>
      </c>
      <c r="G184" s="1534">
        <v>0</v>
      </c>
      <c r="H184" s="1535">
        <v>255.58321799999999</v>
      </c>
    </row>
    <row r="185" spans="1:8">
      <c r="A185" s="1429" t="s">
        <v>1106</v>
      </c>
      <c r="B185" s="1429" t="s">
        <v>1471</v>
      </c>
      <c r="C185" s="1534">
        <v>0</v>
      </c>
      <c r="D185" s="1534">
        <v>0</v>
      </c>
      <c r="E185" s="1534">
        <v>291.96400199999999</v>
      </c>
      <c r="F185" s="1534">
        <v>0</v>
      </c>
      <c r="G185" s="1534">
        <v>0</v>
      </c>
      <c r="H185" s="1535">
        <v>291.96400199999999</v>
      </c>
    </row>
    <row r="186" spans="1:8">
      <c r="A186" s="1429" t="s">
        <v>1106</v>
      </c>
      <c r="B186" s="1429" t="s">
        <v>1426</v>
      </c>
      <c r="C186" s="1534">
        <v>0</v>
      </c>
      <c r="D186" s="1534">
        <v>0</v>
      </c>
      <c r="E186" s="1534">
        <v>364.29746799999998</v>
      </c>
      <c r="F186" s="1534">
        <v>0</v>
      </c>
      <c r="G186" s="1534">
        <v>0</v>
      </c>
      <c r="H186" s="1535">
        <v>364.29746799999998</v>
      </c>
    </row>
    <row r="187" spans="1:8">
      <c r="A187" s="1429" t="s">
        <v>1106</v>
      </c>
      <c r="B187" s="1429" t="s">
        <v>2271</v>
      </c>
      <c r="C187" s="1534">
        <v>0</v>
      </c>
      <c r="D187" s="1534">
        <v>0</v>
      </c>
      <c r="E187" s="1534">
        <v>97.977006000000003</v>
      </c>
      <c r="F187" s="1534">
        <v>0</v>
      </c>
      <c r="G187" s="1534">
        <v>0</v>
      </c>
      <c r="H187" s="1535">
        <v>97.977006000000003</v>
      </c>
    </row>
    <row r="188" spans="1:8">
      <c r="A188" s="1429" t="s">
        <v>1106</v>
      </c>
      <c r="B188" s="1429" t="s">
        <v>1472</v>
      </c>
      <c r="C188" s="1534">
        <v>0</v>
      </c>
      <c r="D188" s="1534">
        <v>0</v>
      </c>
      <c r="E188" s="1534">
        <v>292.69994500000001</v>
      </c>
      <c r="F188" s="1534">
        <v>0</v>
      </c>
      <c r="G188" s="1534">
        <v>0</v>
      </c>
      <c r="H188" s="1535">
        <v>292.69994500000001</v>
      </c>
    </row>
    <row r="189" spans="1:8">
      <c r="A189" s="1429" t="s">
        <v>1106</v>
      </c>
      <c r="B189" s="1429" t="s">
        <v>1442</v>
      </c>
      <c r="C189" s="1534">
        <v>256.79731500000003</v>
      </c>
      <c r="D189" s="1534">
        <v>0</v>
      </c>
      <c r="E189" s="1534">
        <v>0</v>
      </c>
      <c r="F189" s="1534">
        <v>0</v>
      </c>
      <c r="G189" s="1534">
        <v>0</v>
      </c>
      <c r="H189" s="1535">
        <v>256.79731500000003</v>
      </c>
    </row>
    <row r="190" spans="1:8">
      <c r="A190" s="1429" t="s">
        <v>1106</v>
      </c>
      <c r="B190" s="1429" t="s">
        <v>1518</v>
      </c>
      <c r="C190" s="1534">
        <v>181.79803799999999</v>
      </c>
      <c r="D190" s="1534">
        <v>0</v>
      </c>
      <c r="E190" s="1534">
        <v>0</v>
      </c>
      <c r="F190" s="1534">
        <v>0</v>
      </c>
      <c r="G190" s="1534">
        <v>0</v>
      </c>
      <c r="H190" s="1535">
        <v>181.79803799999999</v>
      </c>
    </row>
    <row r="191" spans="1:8">
      <c r="A191" s="1429" t="s">
        <v>1106</v>
      </c>
      <c r="B191" s="1429" t="s">
        <v>1429</v>
      </c>
      <c r="C191" s="1534">
        <v>0</v>
      </c>
      <c r="D191" s="1534">
        <v>0</v>
      </c>
      <c r="E191" s="1534">
        <v>339.76877100000002</v>
      </c>
      <c r="F191" s="1534">
        <v>0</v>
      </c>
      <c r="G191" s="1534">
        <v>0</v>
      </c>
      <c r="H191" s="1535">
        <v>339.76877100000002</v>
      </c>
    </row>
    <row r="192" spans="1:8">
      <c r="A192" s="1429" t="s">
        <v>1106</v>
      </c>
      <c r="B192" s="1429" t="s">
        <v>1481</v>
      </c>
      <c r="C192" s="1534">
        <v>0</v>
      </c>
      <c r="D192" s="1534">
        <v>0</v>
      </c>
      <c r="E192" s="1534">
        <v>192.30722900000001</v>
      </c>
      <c r="F192" s="1534">
        <v>0</v>
      </c>
      <c r="G192" s="1534">
        <v>0</v>
      </c>
      <c r="H192" s="1535">
        <v>192.30722900000001</v>
      </c>
    </row>
    <row r="193" spans="1:8">
      <c r="A193" s="1429" t="s">
        <v>1106</v>
      </c>
      <c r="B193" s="1429" t="s">
        <v>1531</v>
      </c>
      <c r="C193" s="1534">
        <v>431.98308400000002</v>
      </c>
      <c r="D193" s="1534">
        <v>0</v>
      </c>
      <c r="E193" s="1534">
        <v>0</v>
      </c>
      <c r="F193" s="1534">
        <v>0</v>
      </c>
      <c r="G193" s="1534">
        <v>0</v>
      </c>
      <c r="H193" s="1535">
        <v>431.98308400000002</v>
      </c>
    </row>
    <row r="194" spans="1:8">
      <c r="A194" s="1429" t="s">
        <v>1106</v>
      </c>
      <c r="B194" s="1429" t="s">
        <v>1484</v>
      </c>
      <c r="C194" s="1534">
        <v>0</v>
      </c>
      <c r="D194" s="1534">
        <v>0</v>
      </c>
      <c r="E194" s="1534">
        <v>364.54275200000001</v>
      </c>
      <c r="F194" s="1534">
        <v>0</v>
      </c>
      <c r="G194" s="1534">
        <v>0</v>
      </c>
      <c r="H194" s="1535">
        <v>364.54275200000001</v>
      </c>
    </row>
    <row r="195" spans="1:8">
      <c r="A195" s="1429" t="s">
        <v>1106</v>
      </c>
      <c r="B195" s="1429" t="s">
        <v>1487</v>
      </c>
      <c r="C195" s="1534">
        <v>0</v>
      </c>
      <c r="D195" s="1534">
        <v>0</v>
      </c>
      <c r="E195" s="1534">
        <v>238.348432</v>
      </c>
      <c r="F195" s="1534">
        <v>0</v>
      </c>
      <c r="G195" s="1534">
        <v>0</v>
      </c>
      <c r="H195" s="1535">
        <v>238.348432</v>
      </c>
    </row>
    <row r="196" spans="1:8">
      <c r="A196" s="1429" t="s">
        <v>1106</v>
      </c>
      <c r="B196" s="1429" t="s">
        <v>1488</v>
      </c>
      <c r="C196" s="1534">
        <v>0</v>
      </c>
      <c r="D196" s="1534">
        <v>0</v>
      </c>
      <c r="E196" s="1534">
        <v>114.489384</v>
      </c>
      <c r="F196" s="1534">
        <v>0</v>
      </c>
      <c r="G196" s="1534">
        <v>0</v>
      </c>
      <c r="H196" s="1535">
        <v>114.489384</v>
      </c>
    </row>
    <row r="197" spans="1:8">
      <c r="A197" s="1429" t="s">
        <v>1106</v>
      </c>
      <c r="B197" s="1429" t="s">
        <v>1711</v>
      </c>
      <c r="C197" s="1534">
        <v>71.890500000000003</v>
      </c>
      <c r="D197" s="1534">
        <v>0</v>
      </c>
      <c r="E197" s="1534">
        <v>0</v>
      </c>
      <c r="F197" s="1534">
        <v>0</v>
      </c>
      <c r="G197" s="1534">
        <v>0</v>
      </c>
      <c r="H197" s="1535">
        <v>71.890500000000003</v>
      </c>
    </row>
    <row r="198" spans="1:8">
      <c r="A198" s="1429" t="s">
        <v>1106</v>
      </c>
      <c r="B198" s="1429" t="s">
        <v>1712</v>
      </c>
      <c r="C198" s="1534">
        <v>0</v>
      </c>
      <c r="D198" s="1534">
        <v>0</v>
      </c>
      <c r="E198" s="1534">
        <v>60.860399999999998</v>
      </c>
      <c r="F198" s="1534">
        <v>0</v>
      </c>
      <c r="G198" s="1534">
        <v>0</v>
      </c>
      <c r="H198" s="1535">
        <v>60.860399999999998</v>
      </c>
    </row>
    <row r="199" spans="1:8">
      <c r="A199" s="1429" t="s">
        <v>1106</v>
      </c>
      <c r="B199" s="1429" t="s">
        <v>1713</v>
      </c>
      <c r="C199" s="1534">
        <v>0</v>
      </c>
      <c r="D199" s="1534">
        <v>0</v>
      </c>
      <c r="E199" s="1534">
        <v>38.814590000000003</v>
      </c>
      <c r="F199" s="1534">
        <v>0</v>
      </c>
      <c r="G199" s="1534">
        <v>0</v>
      </c>
      <c r="H199" s="1535">
        <v>38.814590000000003</v>
      </c>
    </row>
    <row r="200" spans="1:8">
      <c r="A200" s="1429" t="s">
        <v>1106</v>
      </c>
      <c r="B200" s="1429" t="s">
        <v>1545</v>
      </c>
      <c r="C200" s="1534">
        <v>104.530344</v>
      </c>
      <c r="D200" s="1534">
        <v>0</v>
      </c>
      <c r="E200" s="1534">
        <v>0</v>
      </c>
      <c r="F200" s="1534">
        <v>0</v>
      </c>
      <c r="G200" s="1534">
        <v>0</v>
      </c>
      <c r="H200" s="1535">
        <v>104.530344</v>
      </c>
    </row>
    <row r="201" spans="1:8">
      <c r="A201" s="1429" t="s">
        <v>1106</v>
      </c>
      <c r="B201" s="1429" t="s">
        <v>1443</v>
      </c>
      <c r="C201" s="1534">
        <v>242.58119199999999</v>
      </c>
      <c r="D201" s="1534">
        <v>0</v>
      </c>
      <c r="E201" s="1534">
        <v>0</v>
      </c>
      <c r="F201" s="1534">
        <v>0</v>
      </c>
      <c r="G201" s="1534">
        <v>0</v>
      </c>
      <c r="H201" s="1535">
        <v>242.58119199999999</v>
      </c>
    </row>
    <row r="202" spans="1:8">
      <c r="A202" s="1429" t="s">
        <v>1106</v>
      </c>
      <c r="B202" s="1429" t="s">
        <v>1523</v>
      </c>
      <c r="C202" s="1534">
        <v>154.26474200000001</v>
      </c>
      <c r="D202" s="1534">
        <v>0</v>
      </c>
      <c r="E202" s="1534">
        <v>0</v>
      </c>
      <c r="F202" s="1534">
        <v>0</v>
      </c>
      <c r="G202" s="1534">
        <v>0</v>
      </c>
      <c r="H202" s="1535">
        <v>154.26474200000001</v>
      </c>
    </row>
    <row r="203" spans="1:8">
      <c r="A203" s="1429" t="s">
        <v>1106</v>
      </c>
      <c r="B203" s="1429" t="s">
        <v>1540</v>
      </c>
      <c r="C203" s="1534">
        <v>37.020352000000003</v>
      </c>
      <c r="D203" s="1534">
        <v>0</v>
      </c>
      <c r="E203" s="1534">
        <v>0</v>
      </c>
      <c r="F203" s="1534">
        <v>0</v>
      </c>
      <c r="G203" s="1534">
        <v>0</v>
      </c>
      <c r="H203" s="1535">
        <v>37.020352000000003</v>
      </c>
    </row>
    <row r="204" spans="1:8">
      <c r="A204" s="1429" t="s">
        <v>1106</v>
      </c>
      <c r="B204" s="1429" t="s">
        <v>1714</v>
      </c>
      <c r="C204" s="1534">
        <v>143.62118899999999</v>
      </c>
      <c r="D204" s="1534">
        <v>0</v>
      </c>
      <c r="E204" s="1534">
        <v>0</v>
      </c>
      <c r="F204" s="1534">
        <v>0</v>
      </c>
      <c r="G204" s="1534">
        <v>0</v>
      </c>
      <c r="H204" s="1535">
        <v>143.62118899999999</v>
      </c>
    </row>
    <row r="205" spans="1:8">
      <c r="A205" s="1429" t="s">
        <v>1106</v>
      </c>
      <c r="B205" s="1429" t="s">
        <v>1544</v>
      </c>
      <c r="C205" s="1534">
        <v>374.91990600000003</v>
      </c>
      <c r="D205" s="1534">
        <v>0</v>
      </c>
      <c r="E205" s="1534">
        <v>0</v>
      </c>
      <c r="F205" s="1534">
        <v>0</v>
      </c>
      <c r="G205" s="1534">
        <v>0</v>
      </c>
      <c r="H205" s="1535">
        <v>374.91990600000003</v>
      </c>
    </row>
    <row r="206" spans="1:8">
      <c r="A206" s="1429" t="s">
        <v>1106</v>
      </c>
      <c r="B206" s="1429" t="s">
        <v>1718</v>
      </c>
      <c r="C206" s="1534">
        <v>32.780799999999999</v>
      </c>
      <c r="D206" s="1534">
        <v>0</v>
      </c>
      <c r="E206" s="1534">
        <v>0</v>
      </c>
      <c r="F206" s="1534">
        <v>0</v>
      </c>
      <c r="G206" s="1534">
        <v>0</v>
      </c>
      <c r="H206" s="1535">
        <v>32.780799999999999</v>
      </c>
    </row>
    <row r="207" spans="1:8" ht="36" customHeight="1">
      <c r="A207" s="1533" t="s">
        <v>1549</v>
      </c>
      <c r="B207" s="1533" t="s">
        <v>1550</v>
      </c>
      <c r="C207" s="1535">
        <v>14390.015015999999</v>
      </c>
      <c r="D207" s="1535">
        <v>76.566135000000003</v>
      </c>
      <c r="E207" s="1535">
        <v>17881.235960999998</v>
      </c>
      <c r="F207" s="1535">
        <v>23.540870000000002</v>
      </c>
      <c r="G207" s="1535">
        <v>636.76607100000001</v>
      </c>
      <c r="H207" s="1535">
        <v>33008.124053</v>
      </c>
    </row>
    <row r="208" spans="1:8">
      <c r="A208" s="2346" t="s">
        <v>1715</v>
      </c>
      <c r="B208" s="2346"/>
      <c r="C208" s="2346"/>
      <c r="D208" s="2346"/>
      <c r="E208" s="2346"/>
      <c r="F208" s="2346"/>
      <c r="G208" s="2346"/>
      <c r="H208" s="1535">
        <v>2.902174</v>
      </c>
    </row>
    <row r="209" spans="1:8">
      <c r="A209" s="1533" t="s">
        <v>1025</v>
      </c>
      <c r="B209" s="1429"/>
      <c r="C209" s="1429"/>
      <c r="D209" s="1429"/>
      <c r="E209" s="1429"/>
      <c r="F209" s="1429"/>
      <c r="G209" s="1429"/>
      <c r="H209" s="1535">
        <v>33011.026227000002</v>
      </c>
    </row>
    <row r="210" spans="1:8" ht="100.5" customHeight="1">
      <c r="A210" s="2347" t="s">
        <v>2292</v>
      </c>
      <c r="B210" s="2347"/>
      <c r="C210" s="2347"/>
      <c r="D210" s="2347"/>
      <c r="E210" s="2347"/>
      <c r="F210" s="2347"/>
      <c r="G210" s="2347"/>
      <c r="H210" s="2347"/>
    </row>
  </sheetData>
  <mergeCells count="13">
    <mergeCell ref="E6:F6"/>
    <mergeCell ref="A208:G208"/>
    <mergeCell ref="A210:H210"/>
    <mergeCell ref="A1:H1"/>
    <mergeCell ref="A2:H2"/>
    <mergeCell ref="A3:H3"/>
    <mergeCell ref="A4:H4"/>
    <mergeCell ref="A5:A7"/>
    <mergeCell ref="B5:B7"/>
    <mergeCell ref="C5:F5"/>
    <mergeCell ref="G5:G7"/>
    <mergeCell ref="H5:H7"/>
    <mergeCell ref="C6:D6"/>
  </mergeCells>
  <pageMargins left="0.70866141732283472" right="0.70866141732283472" top="0.74803149606299213" bottom="0.74803149606299213" header="0.31496062992125984" footer="0.31496062992125984"/>
  <pageSetup scale="59" orientation="portrait" r:id="rId1"/>
  <rowBreaks count="1" manualBreakCount="1">
    <brk id="141" max="7"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12"/>
  <sheetViews>
    <sheetView view="pageBreakPreview" zoomScale="60" zoomScaleNormal="90" workbookViewId="0">
      <selection activeCell="I21" sqref="I21"/>
    </sheetView>
  </sheetViews>
  <sheetFormatPr defaultRowHeight="15"/>
  <cols>
    <col min="1" max="1" width="22" style="1401" customWidth="1"/>
    <col min="2" max="2" width="31.28515625" style="1401" customWidth="1"/>
    <col min="3" max="3" width="11" style="1401" customWidth="1"/>
    <col min="4" max="4" width="9" style="1401" customWidth="1"/>
    <col min="5" max="5" width="11" style="1401" customWidth="1"/>
    <col min="6" max="6" width="9" style="1401" customWidth="1"/>
    <col min="7" max="7" width="20.5703125" style="1401" customWidth="1"/>
    <col min="8" max="8" width="20.42578125" style="1401" customWidth="1"/>
    <col min="9" max="9" width="28" style="1401" customWidth="1"/>
    <col min="10" max="16384" width="9.140625" style="1401"/>
  </cols>
  <sheetData>
    <row r="1" spans="1:8" ht="15.75" thickBot="1">
      <c r="A1" s="2348" t="s">
        <v>2272</v>
      </c>
      <c r="B1" s="2349"/>
      <c r="C1" s="2349"/>
      <c r="D1" s="2349"/>
      <c r="E1" s="2349"/>
      <c r="F1" s="2349"/>
      <c r="G1" s="2349"/>
      <c r="H1" s="2350"/>
    </row>
    <row r="2" spans="1:8" ht="15.75" thickBot="1">
      <c r="A2" s="2351" t="s">
        <v>1696</v>
      </c>
      <c r="B2" s="2352"/>
      <c r="C2" s="2352"/>
      <c r="D2" s="2352"/>
      <c r="E2" s="2352"/>
      <c r="F2" s="2352"/>
      <c r="G2" s="2352"/>
      <c r="H2" s="2353"/>
    </row>
    <row r="3" spans="1:8">
      <c r="A3" s="2354" t="s">
        <v>1098</v>
      </c>
      <c r="B3" s="2355"/>
      <c r="C3" s="2355"/>
      <c r="D3" s="2355"/>
      <c r="E3" s="2355"/>
      <c r="F3" s="2355"/>
      <c r="G3" s="2355"/>
      <c r="H3" s="2356"/>
    </row>
    <row r="4" spans="1:8" ht="15.75" thickBot="1">
      <c r="A4" s="2367" t="s">
        <v>1099</v>
      </c>
      <c r="B4" s="2368"/>
      <c r="C4" s="2368"/>
      <c r="D4" s="2368"/>
      <c r="E4" s="2368"/>
      <c r="F4" s="2368"/>
      <c r="G4" s="2368"/>
      <c r="H4" s="2369"/>
    </row>
    <row r="5" spans="1:8" ht="15.75" thickBot="1">
      <c r="A5" s="2370" t="s">
        <v>456</v>
      </c>
      <c r="B5" s="2372" t="s">
        <v>434</v>
      </c>
      <c r="C5" s="2374" t="s">
        <v>435</v>
      </c>
      <c r="D5" s="2375"/>
      <c r="E5" s="2375"/>
      <c r="F5" s="2376"/>
      <c r="G5" s="2370" t="s">
        <v>1697</v>
      </c>
      <c r="H5" s="2370" t="s">
        <v>1100</v>
      </c>
    </row>
    <row r="6" spans="1:8" ht="15.75" thickBot="1">
      <c r="A6" s="2371"/>
      <c r="B6" s="2373"/>
      <c r="C6" s="2348" t="s">
        <v>1101</v>
      </c>
      <c r="D6" s="2349"/>
      <c r="E6" s="2348" t="s">
        <v>1102</v>
      </c>
      <c r="F6" s="2350"/>
      <c r="G6" s="2371"/>
      <c r="H6" s="2371"/>
    </row>
    <row r="7" spans="1:8" ht="30.75" thickBot="1">
      <c r="A7" s="2371"/>
      <c r="B7" s="2373"/>
      <c r="C7" s="1402" t="s">
        <v>1103</v>
      </c>
      <c r="D7" s="1402" t="s">
        <v>1104</v>
      </c>
      <c r="E7" s="1402" t="s">
        <v>1105</v>
      </c>
      <c r="F7" s="1403" t="s">
        <v>1104</v>
      </c>
      <c r="G7" s="2377"/>
      <c r="H7" s="2371"/>
    </row>
    <row r="8" spans="1:8" ht="15.75" thickBot="1">
      <c r="A8" s="1404" t="s">
        <v>363</v>
      </c>
      <c r="B8" s="1405" t="s">
        <v>972</v>
      </c>
      <c r="C8" s="1406" t="s">
        <v>972</v>
      </c>
      <c r="D8" s="1407" t="s">
        <v>972</v>
      </c>
      <c r="E8" s="1407" t="s">
        <v>972</v>
      </c>
      <c r="F8" s="1408" t="s">
        <v>972</v>
      </c>
      <c r="G8" s="1409"/>
      <c r="H8" s="1410" t="s">
        <v>972</v>
      </c>
    </row>
    <row r="9" spans="1:8" ht="15.75" thickBot="1">
      <c r="A9" s="1411"/>
      <c r="B9" s="1412"/>
      <c r="C9" s="1413"/>
      <c r="D9" s="1414"/>
      <c r="E9" s="1414"/>
      <c r="F9" s="1415"/>
      <c r="G9" s="1416"/>
      <c r="H9" s="1417"/>
    </row>
    <row r="10" spans="1:8">
      <c r="A10" s="1418" t="s">
        <v>965</v>
      </c>
      <c r="B10" s="1401" t="s">
        <v>1421</v>
      </c>
      <c r="C10" s="1536">
        <v>0</v>
      </c>
      <c r="D10" s="1537">
        <v>0</v>
      </c>
      <c r="E10" s="1537">
        <v>0</v>
      </c>
      <c r="F10" s="1538">
        <v>0</v>
      </c>
      <c r="G10" s="1538">
        <v>17.717949999999998</v>
      </c>
      <c r="H10" s="1539">
        <v>17.717949999999998</v>
      </c>
    </row>
    <row r="11" spans="1:8">
      <c r="A11" s="1419" t="s">
        <v>965</v>
      </c>
      <c r="B11" s="1401" t="s">
        <v>1420</v>
      </c>
      <c r="C11" s="1536">
        <v>0</v>
      </c>
      <c r="D11" s="1537">
        <v>0</v>
      </c>
      <c r="E11" s="1537">
        <v>46.326267999999999</v>
      </c>
      <c r="F11" s="1538">
        <v>0</v>
      </c>
      <c r="G11" s="1538">
        <v>0</v>
      </c>
      <c r="H11" s="1539">
        <v>46.326267999999999</v>
      </c>
    </row>
    <row r="12" spans="1:8">
      <c r="A12" s="1419" t="s">
        <v>965</v>
      </c>
      <c r="B12" s="1401" t="s">
        <v>1422</v>
      </c>
      <c r="C12" s="1536">
        <v>0</v>
      </c>
      <c r="D12" s="1537">
        <v>0</v>
      </c>
      <c r="E12" s="1537">
        <v>18.463809999999999</v>
      </c>
      <c r="F12" s="1538">
        <v>0</v>
      </c>
      <c r="G12" s="1538">
        <v>0</v>
      </c>
      <c r="H12" s="1539">
        <v>18.463809999999999</v>
      </c>
    </row>
    <row r="13" spans="1:8">
      <c r="A13" s="1419" t="s">
        <v>965</v>
      </c>
      <c r="B13" s="1401" t="s">
        <v>1423</v>
      </c>
      <c r="C13" s="1536">
        <v>0</v>
      </c>
      <c r="D13" s="1537">
        <v>0</v>
      </c>
      <c r="E13" s="1537">
        <v>0</v>
      </c>
      <c r="F13" s="1538">
        <v>0</v>
      </c>
      <c r="G13" s="1538">
        <v>28.714390999999999</v>
      </c>
      <c r="H13" s="1539">
        <v>28.714390999999999</v>
      </c>
    </row>
    <row r="14" spans="1:8">
      <c r="A14" s="1419" t="s">
        <v>965</v>
      </c>
      <c r="B14" s="1401" t="s">
        <v>1424</v>
      </c>
      <c r="C14" s="1536">
        <v>0</v>
      </c>
      <c r="D14" s="1537">
        <v>0</v>
      </c>
      <c r="E14" s="1537">
        <v>0</v>
      </c>
      <c r="F14" s="1538">
        <v>0</v>
      </c>
      <c r="G14" s="1538">
        <v>19.865549999999999</v>
      </c>
      <c r="H14" s="1539">
        <v>19.865549999999999</v>
      </c>
    </row>
    <row r="15" spans="1:8">
      <c r="A15" s="1419" t="s">
        <v>965</v>
      </c>
      <c r="B15" s="1401" t="s">
        <v>1425</v>
      </c>
      <c r="C15" s="1536">
        <v>0</v>
      </c>
      <c r="D15" s="1537">
        <v>0</v>
      </c>
      <c r="E15" s="1537">
        <v>0</v>
      </c>
      <c r="F15" s="1538">
        <v>0</v>
      </c>
      <c r="G15" s="1538">
        <v>18.122540000000001</v>
      </c>
      <c r="H15" s="1539">
        <v>18.122540000000001</v>
      </c>
    </row>
    <row r="16" spans="1:8">
      <c r="A16" s="1419" t="s">
        <v>965</v>
      </c>
      <c r="B16" s="1401" t="s">
        <v>1427</v>
      </c>
      <c r="C16" s="1536">
        <v>0</v>
      </c>
      <c r="D16" s="1537">
        <v>0</v>
      </c>
      <c r="E16" s="1537">
        <v>0</v>
      </c>
      <c r="F16" s="1538">
        <v>0</v>
      </c>
      <c r="G16" s="1538">
        <v>7.6591500000000003</v>
      </c>
      <c r="H16" s="1539">
        <v>7.6591500000000003</v>
      </c>
    </row>
    <row r="17" spans="1:8">
      <c r="A17" s="1419" t="s">
        <v>965</v>
      </c>
      <c r="B17" s="1401" t="s">
        <v>1428</v>
      </c>
      <c r="C17" s="1536">
        <v>0</v>
      </c>
      <c r="D17" s="1537">
        <v>0</v>
      </c>
      <c r="E17" s="1537">
        <v>0</v>
      </c>
      <c r="F17" s="1538">
        <v>0</v>
      </c>
      <c r="G17" s="1538">
        <v>14.61252</v>
      </c>
      <c r="H17" s="1539">
        <v>14.61252</v>
      </c>
    </row>
    <row r="18" spans="1:8">
      <c r="A18" s="1419" t="s">
        <v>965</v>
      </c>
      <c r="B18" s="1401" t="s">
        <v>1476</v>
      </c>
      <c r="C18" s="1536">
        <v>0</v>
      </c>
      <c r="D18" s="1537">
        <v>0</v>
      </c>
      <c r="E18" s="1537">
        <v>0</v>
      </c>
      <c r="F18" s="1538">
        <v>0</v>
      </c>
      <c r="G18" s="1538">
        <v>46.834657</v>
      </c>
      <c r="H18" s="1539">
        <v>46.834657</v>
      </c>
    </row>
    <row r="19" spans="1:8">
      <c r="A19" s="1419" t="s">
        <v>965</v>
      </c>
      <c r="B19" s="1401" t="s">
        <v>1480</v>
      </c>
      <c r="C19" s="1536">
        <v>0</v>
      </c>
      <c r="D19" s="1537">
        <v>0</v>
      </c>
      <c r="E19" s="1537">
        <v>0</v>
      </c>
      <c r="F19" s="1538">
        <v>9.9239540000000002</v>
      </c>
      <c r="G19" s="1538">
        <v>0</v>
      </c>
      <c r="H19" s="1539">
        <v>9.9239540000000002</v>
      </c>
    </row>
    <row r="20" spans="1:8">
      <c r="A20" s="1419" t="s">
        <v>965</v>
      </c>
      <c r="B20" s="1401" t="s">
        <v>1430</v>
      </c>
      <c r="C20" s="1536">
        <v>0</v>
      </c>
      <c r="D20" s="1537">
        <v>0</v>
      </c>
      <c r="E20" s="1537">
        <v>0.13878599999999999</v>
      </c>
      <c r="F20" s="1538">
        <v>0</v>
      </c>
      <c r="G20" s="1538">
        <v>36.529758999999999</v>
      </c>
      <c r="H20" s="1539">
        <v>36.668545000000002</v>
      </c>
    </row>
    <row r="21" spans="1:8">
      <c r="A21" s="1419" t="s">
        <v>965</v>
      </c>
      <c r="B21" s="1401" t="s">
        <v>1431</v>
      </c>
      <c r="C21" s="1536">
        <v>0</v>
      </c>
      <c r="D21" s="1537">
        <v>0</v>
      </c>
      <c r="E21" s="1537">
        <v>1.189368</v>
      </c>
      <c r="F21" s="1538">
        <v>0</v>
      </c>
      <c r="G21" s="1538">
        <v>0</v>
      </c>
      <c r="H21" s="1539">
        <v>1.189368</v>
      </c>
    </row>
    <row r="22" spans="1:8">
      <c r="A22" s="1419" t="s">
        <v>965</v>
      </c>
      <c r="B22" s="1401" t="s">
        <v>1432</v>
      </c>
      <c r="C22" s="1536">
        <v>0</v>
      </c>
      <c r="D22" s="1537">
        <v>0</v>
      </c>
      <c r="E22" s="1537">
        <v>0.12637699999999999</v>
      </c>
      <c r="F22" s="1538">
        <v>0</v>
      </c>
      <c r="G22" s="1538">
        <v>0</v>
      </c>
      <c r="H22" s="1539">
        <v>0.12637699999999999</v>
      </c>
    </row>
    <row r="23" spans="1:8">
      <c r="A23" s="1419" t="s">
        <v>965</v>
      </c>
      <c r="B23" s="1401" t="s">
        <v>1433</v>
      </c>
      <c r="C23" s="1536">
        <v>0</v>
      </c>
      <c r="D23" s="1537">
        <v>0</v>
      </c>
      <c r="E23" s="1537">
        <v>0</v>
      </c>
      <c r="F23" s="1538">
        <v>0</v>
      </c>
      <c r="G23" s="1538">
        <v>32.54365</v>
      </c>
      <c r="H23" s="1539">
        <v>32.54365</v>
      </c>
    </row>
    <row r="24" spans="1:8">
      <c r="A24" s="1419" t="s">
        <v>965</v>
      </c>
      <c r="B24" s="1401" t="s">
        <v>1434</v>
      </c>
      <c r="C24" s="1536">
        <v>0</v>
      </c>
      <c r="D24" s="1537">
        <v>0</v>
      </c>
      <c r="E24" s="1537">
        <v>0</v>
      </c>
      <c r="F24" s="1538">
        <v>15.538360000000001</v>
      </c>
      <c r="G24" s="1538">
        <v>0</v>
      </c>
      <c r="H24" s="1539">
        <v>15.538360000000001</v>
      </c>
    </row>
    <row r="25" spans="1:8">
      <c r="A25" s="1419" t="s">
        <v>965</v>
      </c>
      <c r="B25" s="1401" t="s">
        <v>1435</v>
      </c>
      <c r="C25" s="1536">
        <v>0</v>
      </c>
      <c r="D25" s="1537">
        <v>0</v>
      </c>
      <c r="E25" s="1537">
        <v>25.694337999999998</v>
      </c>
      <c r="F25" s="1538">
        <v>0</v>
      </c>
      <c r="G25" s="1538">
        <v>19.082899999999999</v>
      </c>
      <c r="H25" s="1539">
        <v>44.777237999999997</v>
      </c>
    </row>
    <row r="26" spans="1:8">
      <c r="A26" s="1419" t="s">
        <v>965</v>
      </c>
      <c r="B26" s="1401" t="s">
        <v>1436</v>
      </c>
      <c r="C26" s="1536">
        <v>0</v>
      </c>
      <c r="D26" s="1537">
        <v>0</v>
      </c>
      <c r="E26" s="1537">
        <v>0</v>
      </c>
      <c r="F26" s="1538">
        <v>0</v>
      </c>
      <c r="G26" s="1538">
        <v>21.9511</v>
      </c>
      <c r="H26" s="1539">
        <v>21.9511</v>
      </c>
    </row>
    <row r="27" spans="1:8">
      <c r="A27" s="1419" t="s">
        <v>965</v>
      </c>
      <c r="B27" s="1401" t="s">
        <v>1506</v>
      </c>
      <c r="C27" s="1536">
        <v>0</v>
      </c>
      <c r="D27" s="1537">
        <v>6.8870440000000004</v>
      </c>
      <c r="E27" s="1537">
        <v>0</v>
      </c>
      <c r="F27" s="1538">
        <v>0</v>
      </c>
      <c r="G27" s="1538">
        <v>0</v>
      </c>
      <c r="H27" s="1539">
        <v>6.8870440000000004</v>
      </c>
    </row>
    <row r="28" spans="1:8">
      <c r="A28" s="1419" t="s">
        <v>965</v>
      </c>
      <c r="B28" s="1401" t="s">
        <v>1438</v>
      </c>
      <c r="C28" s="1536">
        <v>0</v>
      </c>
      <c r="D28" s="1537">
        <v>0</v>
      </c>
      <c r="E28" s="1537">
        <v>0</v>
      </c>
      <c r="F28" s="1538">
        <v>0</v>
      </c>
      <c r="G28" s="1538">
        <v>18.398423000000001</v>
      </c>
      <c r="H28" s="1539">
        <v>18.398423000000001</v>
      </c>
    </row>
    <row r="29" spans="1:8">
      <c r="A29" s="1419" t="s">
        <v>965</v>
      </c>
      <c r="B29" s="1401" t="s">
        <v>1439</v>
      </c>
      <c r="C29" s="1536">
        <v>0</v>
      </c>
      <c r="D29" s="1537">
        <v>0</v>
      </c>
      <c r="E29" s="1537">
        <v>0</v>
      </c>
      <c r="F29" s="1538">
        <v>0</v>
      </c>
      <c r="G29" s="1538">
        <v>21.153449999999999</v>
      </c>
      <c r="H29" s="1539">
        <v>21.153449999999999</v>
      </c>
    </row>
    <row r="30" spans="1:8">
      <c r="A30" s="1419" t="s">
        <v>965</v>
      </c>
      <c r="B30" s="1401" t="s">
        <v>1440</v>
      </c>
      <c r="C30" s="1536">
        <v>0</v>
      </c>
      <c r="D30" s="1537">
        <v>0</v>
      </c>
      <c r="E30" s="1537">
        <v>0</v>
      </c>
      <c r="F30" s="1538">
        <v>0</v>
      </c>
      <c r="G30" s="1538">
        <v>18.860849999999999</v>
      </c>
      <c r="H30" s="1539">
        <v>18.860849999999999</v>
      </c>
    </row>
    <row r="31" spans="1:8">
      <c r="A31" s="1419" t="s">
        <v>965</v>
      </c>
      <c r="B31" s="1401" t="s">
        <v>1441</v>
      </c>
      <c r="C31" s="1536">
        <v>179.616243</v>
      </c>
      <c r="D31" s="1537">
        <v>0</v>
      </c>
      <c r="E31" s="1537">
        <v>0</v>
      </c>
      <c r="F31" s="1538">
        <v>0</v>
      </c>
      <c r="G31" s="1538">
        <v>0</v>
      </c>
      <c r="H31" s="1539">
        <v>179.616243</v>
      </c>
    </row>
    <row r="32" spans="1:8">
      <c r="A32" s="1419" t="s">
        <v>965</v>
      </c>
      <c r="B32" s="1401" t="s">
        <v>1444</v>
      </c>
      <c r="C32" s="1536">
        <v>0.35281899999999999</v>
      </c>
      <c r="D32" s="1537">
        <v>6.2179080000000004</v>
      </c>
      <c r="E32" s="1537">
        <v>0</v>
      </c>
      <c r="F32" s="1538">
        <v>0</v>
      </c>
      <c r="G32" s="1538">
        <v>0</v>
      </c>
      <c r="H32" s="1539">
        <v>6.5707269999999998</v>
      </c>
    </row>
    <row r="33" spans="1:8">
      <c r="A33" s="1419" t="s">
        <v>965</v>
      </c>
      <c r="B33" s="1401" t="s">
        <v>1525</v>
      </c>
      <c r="C33" s="1536">
        <v>0.44255100000000003</v>
      </c>
      <c r="D33" s="1537">
        <v>0</v>
      </c>
      <c r="E33" s="1537">
        <v>0</v>
      </c>
      <c r="F33" s="1538">
        <v>0</v>
      </c>
      <c r="G33" s="1538">
        <v>0</v>
      </c>
      <c r="H33" s="1539">
        <v>0.44255100000000003</v>
      </c>
    </row>
    <row r="34" spans="1:8">
      <c r="A34" s="1419" t="s">
        <v>965</v>
      </c>
      <c r="B34" s="1401" t="s">
        <v>1528</v>
      </c>
      <c r="C34" s="1536">
        <v>0</v>
      </c>
      <c r="D34" s="1537">
        <v>8.6673980000000004</v>
      </c>
      <c r="E34" s="1537">
        <v>0</v>
      </c>
      <c r="F34" s="1538">
        <v>0</v>
      </c>
      <c r="G34" s="1538">
        <v>0</v>
      </c>
      <c r="H34" s="1539">
        <v>8.6673980000000004</v>
      </c>
    </row>
    <row r="35" spans="1:8">
      <c r="A35" s="1419" t="s">
        <v>965</v>
      </c>
      <c r="B35" s="1401" t="s">
        <v>1445</v>
      </c>
      <c r="C35" s="1536">
        <v>105.30868</v>
      </c>
      <c r="D35" s="1537">
        <v>0</v>
      </c>
      <c r="E35" s="1537">
        <v>0</v>
      </c>
      <c r="F35" s="1538">
        <v>0</v>
      </c>
      <c r="G35" s="1538">
        <v>0</v>
      </c>
      <c r="H35" s="1539">
        <v>105.30868</v>
      </c>
    </row>
    <row r="36" spans="1:8">
      <c r="A36" s="1419" t="s">
        <v>965</v>
      </c>
      <c r="B36" s="1401" t="s">
        <v>1446</v>
      </c>
      <c r="C36" s="1536">
        <v>0.463978</v>
      </c>
      <c r="D36" s="1537">
        <v>0</v>
      </c>
      <c r="E36" s="1537">
        <v>0</v>
      </c>
      <c r="F36" s="1538">
        <v>0</v>
      </c>
      <c r="G36" s="1538">
        <v>0</v>
      </c>
      <c r="H36" s="1539">
        <v>0.463978</v>
      </c>
    </row>
    <row r="37" spans="1:8">
      <c r="A37" s="1419" t="s">
        <v>965</v>
      </c>
      <c r="B37" s="1401" t="s">
        <v>1532</v>
      </c>
      <c r="C37" s="1536">
        <v>0.60630200000000001</v>
      </c>
      <c r="D37" s="1537">
        <v>0</v>
      </c>
      <c r="E37" s="1537">
        <v>0</v>
      </c>
      <c r="F37" s="1538">
        <v>0</v>
      </c>
      <c r="G37" s="1538">
        <v>0</v>
      </c>
      <c r="H37" s="1539">
        <v>0.60630200000000001</v>
      </c>
    </row>
    <row r="38" spans="1:8">
      <c r="A38" s="1419" t="s">
        <v>965</v>
      </c>
      <c r="B38" s="1401" t="s">
        <v>1447</v>
      </c>
      <c r="C38" s="1536">
        <v>0</v>
      </c>
      <c r="D38" s="1537">
        <v>4.87141</v>
      </c>
      <c r="E38" s="1537">
        <v>0</v>
      </c>
      <c r="F38" s="1538">
        <v>0</v>
      </c>
      <c r="G38" s="1538">
        <v>0</v>
      </c>
      <c r="H38" s="1539">
        <v>4.87141</v>
      </c>
    </row>
    <row r="39" spans="1:8">
      <c r="A39" s="1419" t="s">
        <v>965</v>
      </c>
      <c r="B39" s="1401" t="s">
        <v>1448</v>
      </c>
      <c r="C39" s="1536">
        <v>0</v>
      </c>
      <c r="D39" s="1537">
        <v>0</v>
      </c>
      <c r="E39" s="1537">
        <v>0</v>
      </c>
      <c r="F39" s="1538">
        <v>0</v>
      </c>
      <c r="G39" s="1538">
        <v>13.155174000000001</v>
      </c>
      <c r="H39" s="1539">
        <v>13.155174000000001</v>
      </c>
    </row>
    <row r="40" spans="1:8">
      <c r="A40" s="1419" t="s">
        <v>965</v>
      </c>
      <c r="B40" s="1401" t="s">
        <v>1449</v>
      </c>
      <c r="C40" s="1536">
        <v>0</v>
      </c>
      <c r="D40" s="1537">
        <v>16.951004999999999</v>
      </c>
      <c r="E40" s="1537">
        <v>0</v>
      </c>
      <c r="F40" s="1538">
        <v>0</v>
      </c>
      <c r="G40" s="1538">
        <v>0</v>
      </c>
      <c r="H40" s="1539">
        <v>16.951004999999999</v>
      </c>
    </row>
    <row r="41" spans="1:8">
      <c r="A41" s="1419" t="s">
        <v>965</v>
      </c>
      <c r="B41" s="1401" t="s">
        <v>1698</v>
      </c>
      <c r="C41" s="1536">
        <v>1.4602889999999999</v>
      </c>
      <c r="D41" s="1537">
        <v>0</v>
      </c>
      <c r="E41" s="1537">
        <v>0</v>
      </c>
      <c r="F41" s="1538">
        <v>0</v>
      </c>
      <c r="G41" s="1538">
        <v>0</v>
      </c>
      <c r="H41" s="1539">
        <v>1.4602889999999999</v>
      </c>
    </row>
    <row r="42" spans="1:8">
      <c r="A42" s="1419" t="s">
        <v>965</v>
      </c>
      <c r="B42" s="1401" t="s">
        <v>1699</v>
      </c>
      <c r="C42" s="1536">
        <v>3.6536689999999998</v>
      </c>
      <c r="D42" s="1537">
        <v>3.8896510000000002</v>
      </c>
      <c r="E42" s="1537">
        <v>0</v>
      </c>
      <c r="F42" s="1538">
        <v>0</v>
      </c>
      <c r="G42" s="1538">
        <v>0</v>
      </c>
      <c r="H42" s="1539">
        <v>7.5433199999999996</v>
      </c>
    </row>
    <row r="43" spans="1:8">
      <c r="A43" s="1419" t="s">
        <v>965</v>
      </c>
      <c r="B43" s="1401" t="s">
        <v>1450</v>
      </c>
      <c r="C43" s="1536">
        <v>0</v>
      </c>
      <c r="D43" s="1537">
        <v>0</v>
      </c>
      <c r="E43" s="1537">
        <v>0</v>
      </c>
      <c r="F43" s="1538">
        <v>0</v>
      </c>
      <c r="G43" s="1538">
        <v>36.316378</v>
      </c>
      <c r="H43" s="1539">
        <v>36.316378</v>
      </c>
    </row>
    <row r="44" spans="1:8">
      <c r="A44" s="1419" t="s">
        <v>965</v>
      </c>
      <c r="B44" s="1401" t="s">
        <v>1700</v>
      </c>
      <c r="C44" s="1536">
        <v>53.078664000000003</v>
      </c>
      <c r="D44" s="1537">
        <v>0</v>
      </c>
      <c r="E44" s="1537">
        <v>0</v>
      </c>
      <c r="F44" s="1538">
        <v>0</v>
      </c>
      <c r="G44" s="1538">
        <v>0</v>
      </c>
      <c r="H44" s="1539">
        <v>53.078664000000003</v>
      </c>
    </row>
    <row r="45" spans="1:8">
      <c r="A45" s="1419" t="s">
        <v>965</v>
      </c>
      <c r="B45" s="1401" t="s">
        <v>1451</v>
      </c>
      <c r="C45" s="1536">
        <v>0.81048299999999995</v>
      </c>
      <c r="D45" s="1537">
        <v>0</v>
      </c>
      <c r="E45" s="1537">
        <v>0</v>
      </c>
      <c r="F45" s="1538">
        <v>0</v>
      </c>
      <c r="G45" s="1538">
        <v>0</v>
      </c>
      <c r="H45" s="1539">
        <v>0.81048299999999995</v>
      </c>
    </row>
    <row r="46" spans="1:8">
      <c r="A46" s="1419" t="s">
        <v>965</v>
      </c>
      <c r="B46" s="1401" t="s">
        <v>1452</v>
      </c>
      <c r="C46" s="1536">
        <v>0</v>
      </c>
      <c r="D46" s="1537">
        <v>0</v>
      </c>
      <c r="E46" s="1537">
        <v>0</v>
      </c>
      <c r="F46" s="1538">
        <v>0</v>
      </c>
      <c r="G46" s="1538">
        <v>6.6780160000000004</v>
      </c>
      <c r="H46" s="1539">
        <v>6.6780160000000004</v>
      </c>
    </row>
    <row r="47" spans="1:8">
      <c r="A47" s="1419" t="s">
        <v>965</v>
      </c>
      <c r="B47" s="1401" t="s">
        <v>1453</v>
      </c>
      <c r="C47" s="1536">
        <v>0</v>
      </c>
      <c r="D47" s="1537">
        <v>0</v>
      </c>
      <c r="E47" s="1537">
        <v>0</v>
      </c>
      <c r="F47" s="1538">
        <v>0</v>
      </c>
      <c r="G47" s="1538">
        <v>8.5081579999999999</v>
      </c>
      <c r="H47" s="1539">
        <v>8.5081579999999999</v>
      </c>
    </row>
    <row r="48" spans="1:8">
      <c r="A48" s="1419" t="s">
        <v>965</v>
      </c>
      <c r="B48" s="1401" t="s">
        <v>1426</v>
      </c>
      <c r="C48" s="1536">
        <v>0</v>
      </c>
      <c r="D48" s="1537">
        <v>0</v>
      </c>
      <c r="E48" s="1537">
        <v>0</v>
      </c>
      <c r="F48" s="1538">
        <v>0</v>
      </c>
      <c r="G48" s="1538">
        <v>16.500430000000001</v>
      </c>
      <c r="H48" s="1539">
        <v>16.500430000000001</v>
      </c>
    </row>
    <row r="49" spans="1:8">
      <c r="A49" s="1419" t="s">
        <v>965</v>
      </c>
      <c r="B49" s="1401" t="s">
        <v>1442</v>
      </c>
      <c r="C49" s="1536">
        <v>0</v>
      </c>
      <c r="D49" s="1537">
        <v>0</v>
      </c>
      <c r="E49" s="1537">
        <v>0</v>
      </c>
      <c r="F49" s="1538">
        <v>0</v>
      </c>
      <c r="G49" s="1538">
        <v>17.615929000000001</v>
      </c>
      <c r="H49" s="1539">
        <v>17.615929000000001</v>
      </c>
    </row>
    <row r="50" spans="1:8">
      <c r="A50" s="1419" t="s">
        <v>965</v>
      </c>
      <c r="B50" s="1401" t="s">
        <v>1429</v>
      </c>
      <c r="C50" s="1536">
        <v>0</v>
      </c>
      <c r="D50" s="1537">
        <v>0</v>
      </c>
      <c r="E50" s="1537">
        <v>0</v>
      </c>
      <c r="F50" s="1538">
        <v>0</v>
      </c>
      <c r="G50" s="1538">
        <v>31.047799999999999</v>
      </c>
      <c r="H50" s="1539">
        <v>31.047799999999999</v>
      </c>
    </row>
    <row r="51" spans="1:8">
      <c r="A51" s="1419" t="s">
        <v>965</v>
      </c>
      <c r="B51" s="1401" t="s">
        <v>1484</v>
      </c>
      <c r="C51" s="1536">
        <v>0</v>
      </c>
      <c r="D51" s="1537">
        <v>0</v>
      </c>
      <c r="E51" s="1537">
        <v>0</v>
      </c>
      <c r="F51" s="1538">
        <v>0</v>
      </c>
      <c r="G51" s="1538">
        <v>0</v>
      </c>
      <c r="H51" s="1539">
        <v>0</v>
      </c>
    </row>
    <row r="52" spans="1:8">
      <c r="A52" s="1419" t="s">
        <v>965</v>
      </c>
      <c r="B52" s="1401" t="s">
        <v>1443</v>
      </c>
      <c r="C52" s="1536">
        <v>0</v>
      </c>
      <c r="D52" s="1537">
        <v>0</v>
      </c>
      <c r="E52" s="1537">
        <v>0</v>
      </c>
      <c r="F52" s="1538">
        <v>0</v>
      </c>
      <c r="G52" s="1538">
        <v>18.095960000000002</v>
      </c>
      <c r="H52" s="1539">
        <v>18.095960000000002</v>
      </c>
    </row>
    <row r="53" spans="1:8" ht="15.75" thickBot="1">
      <c r="A53" s="1419" t="s">
        <v>965</v>
      </c>
      <c r="B53" s="1401" t="s">
        <v>1701</v>
      </c>
      <c r="C53" s="1536">
        <v>23.983955999999999</v>
      </c>
      <c r="D53" s="1537">
        <v>0</v>
      </c>
      <c r="E53" s="1537">
        <v>0</v>
      </c>
      <c r="F53" s="1538">
        <v>0</v>
      </c>
      <c r="G53" s="1538">
        <v>0</v>
      </c>
      <c r="H53" s="1539">
        <v>23.983955999999999</v>
      </c>
    </row>
    <row r="54" spans="1:8" ht="15.75" thickBot="1">
      <c r="A54" s="1417"/>
      <c r="B54" s="1412"/>
      <c r="C54" s="1420"/>
      <c r="D54" s="1412"/>
      <c r="E54" s="1412"/>
      <c r="F54" s="1416"/>
      <c r="G54" s="1416"/>
      <c r="H54" s="1421"/>
    </row>
    <row r="55" spans="1:8">
      <c r="A55" s="1418" t="s">
        <v>1106</v>
      </c>
      <c r="B55" s="1401" t="s">
        <v>1421</v>
      </c>
      <c r="C55" s="1536">
        <v>0</v>
      </c>
      <c r="D55" s="1537">
        <v>0</v>
      </c>
      <c r="E55" s="1537">
        <v>263.18030099999999</v>
      </c>
      <c r="F55" s="1538">
        <v>0</v>
      </c>
      <c r="G55" s="1538">
        <v>0</v>
      </c>
      <c r="H55" s="1539">
        <v>263.18030099999999</v>
      </c>
    </row>
    <row r="56" spans="1:8">
      <c r="A56" s="1419" t="s">
        <v>1106</v>
      </c>
      <c r="B56" s="1401" t="s">
        <v>1454</v>
      </c>
      <c r="C56" s="1536">
        <v>0</v>
      </c>
      <c r="D56" s="1537">
        <v>0</v>
      </c>
      <c r="E56" s="1537">
        <v>170.49977899999999</v>
      </c>
      <c r="F56" s="1538">
        <v>0</v>
      </c>
      <c r="G56" s="1538">
        <v>0</v>
      </c>
      <c r="H56" s="1539">
        <v>170.49977899999999</v>
      </c>
    </row>
    <row r="57" spans="1:8">
      <c r="A57" s="1419" t="s">
        <v>1106</v>
      </c>
      <c r="B57" s="1401" t="s">
        <v>1420</v>
      </c>
      <c r="C57" s="1536">
        <v>0</v>
      </c>
      <c r="D57" s="1537">
        <v>0</v>
      </c>
      <c r="E57" s="1537">
        <v>196.30682899999999</v>
      </c>
      <c r="F57" s="1538">
        <v>0</v>
      </c>
      <c r="G57" s="1538">
        <v>0</v>
      </c>
      <c r="H57" s="1539">
        <v>196.30682899999999</v>
      </c>
    </row>
    <row r="58" spans="1:8">
      <c r="A58" s="1419" t="s">
        <v>1106</v>
      </c>
      <c r="B58" s="1401" t="s">
        <v>1422</v>
      </c>
      <c r="C58" s="1536">
        <v>0</v>
      </c>
      <c r="D58" s="1537">
        <v>0</v>
      </c>
      <c r="E58" s="1537">
        <v>60.622275999999999</v>
      </c>
      <c r="F58" s="1538">
        <v>0</v>
      </c>
      <c r="G58" s="1538">
        <v>0</v>
      </c>
      <c r="H58" s="1539">
        <v>60.622275999999999</v>
      </c>
    </row>
    <row r="59" spans="1:8">
      <c r="A59" s="1419" t="s">
        <v>1106</v>
      </c>
      <c r="B59" s="1401" t="s">
        <v>1457</v>
      </c>
      <c r="C59" s="1536">
        <v>0</v>
      </c>
      <c r="D59" s="1537">
        <v>0</v>
      </c>
      <c r="E59" s="1537">
        <v>99.756825000000006</v>
      </c>
      <c r="F59" s="1538">
        <v>0</v>
      </c>
      <c r="G59" s="1538">
        <v>0</v>
      </c>
      <c r="H59" s="1539">
        <v>99.756825000000006</v>
      </c>
    </row>
    <row r="60" spans="1:8">
      <c r="A60" s="1419" t="s">
        <v>1106</v>
      </c>
      <c r="B60" s="1401" t="s">
        <v>1458</v>
      </c>
      <c r="C60" s="1536">
        <v>0</v>
      </c>
      <c r="D60" s="1537">
        <v>0</v>
      </c>
      <c r="E60" s="1537">
        <v>258.22734500000001</v>
      </c>
      <c r="F60" s="1538">
        <v>0</v>
      </c>
      <c r="G60" s="1538">
        <v>0</v>
      </c>
      <c r="H60" s="1539">
        <v>258.22734500000001</v>
      </c>
    </row>
    <row r="61" spans="1:8">
      <c r="A61" s="1419" t="s">
        <v>1106</v>
      </c>
      <c r="B61" s="1401" t="s">
        <v>1459</v>
      </c>
      <c r="C61" s="1536">
        <v>0</v>
      </c>
      <c r="D61" s="1537">
        <v>0</v>
      </c>
      <c r="E61" s="1537">
        <v>75.168450000000007</v>
      </c>
      <c r="F61" s="1538">
        <v>0</v>
      </c>
      <c r="G61" s="1538">
        <v>0</v>
      </c>
      <c r="H61" s="1539">
        <v>75.168450000000007</v>
      </c>
    </row>
    <row r="62" spans="1:8">
      <c r="A62" s="1419" t="s">
        <v>1106</v>
      </c>
      <c r="B62" s="1401" t="s">
        <v>1460</v>
      </c>
      <c r="C62" s="1536">
        <v>0</v>
      </c>
      <c r="D62" s="1537">
        <v>0</v>
      </c>
      <c r="E62" s="1537">
        <v>209.13031699999999</v>
      </c>
      <c r="F62" s="1538">
        <v>0</v>
      </c>
      <c r="G62" s="1538">
        <v>0</v>
      </c>
      <c r="H62" s="1539">
        <v>209.13031699999999</v>
      </c>
    </row>
    <row r="63" spans="1:8">
      <c r="A63" s="1419" t="s">
        <v>1106</v>
      </c>
      <c r="B63" s="1401" t="s">
        <v>1461</v>
      </c>
      <c r="C63" s="1536">
        <v>0</v>
      </c>
      <c r="D63" s="1537">
        <v>0</v>
      </c>
      <c r="E63" s="1537">
        <v>153.348097</v>
      </c>
      <c r="F63" s="1538">
        <v>0</v>
      </c>
      <c r="G63" s="1538">
        <v>0</v>
      </c>
      <c r="H63" s="1539">
        <v>153.348097</v>
      </c>
    </row>
    <row r="64" spans="1:8">
      <c r="A64" s="1419" t="s">
        <v>1106</v>
      </c>
      <c r="B64" s="1401" t="s">
        <v>1423</v>
      </c>
      <c r="C64" s="1536">
        <v>0</v>
      </c>
      <c r="D64" s="1537">
        <v>0</v>
      </c>
      <c r="E64" s="1537">
        <v>249.76609500000001</v>
      </c>
      <c r="F64" s="1538">
        <v>0</v>
      </c>
      <c r="G64" s="1538">
        <v>0</v>
      </c>
      <c r="H64" s="1539">
        <v>249.76609500000001</v>
      </c>
    </row>
    <row r="65" spans="1:8">
      <c r="A65" s="1419" t="s">
        <v>1106</v>
      </c>
      <c r="B65" s="1401" t="s">
        <v>1462</v>
      </c>
      <c r="C65" s="1536">
        <v>0</v>
      </c>
      <c r="D65" s="1537">
        <v>0</v>
      </c>
      <c r="E65" s="1537">
        <v>290.26445699999999</v>
      </c>
      <c r="F65" s="1538">
        <v>0</v>
      </c>
      <c r="G65" s="1538">
        <v>0</v>
      </c>
      <c r="H65" s="1539">
        <v>290.26445699999999</v>
      </c>
    </row>
    <row r="66" spans="1:8">
      <c r="A66" s="1419" t="s">
        <v>1106</v>
      </c>
      <c r="B66" s="1401" t="s">
        <v>1424</v>
      </c>
      <c r="C66" s="1536">
        <v>0</v>
      </c>
      <c r="D66" s="1537">
        <v>0</v>
      </c>
      <c r="E66" s="1537">
        <v>189.20339200000001</v>
      </c>
      <c r="F66" s="1538">
        <v>0</v>
      </c>
      <c r="G66" s="1538">
        <v>0</v>
      </c>
      <c r="H66" s="1539">
        <v>189.20339200000001</v>
      </c>
    </row>
    <row r="67" spans="1:8">
      <c r="A67" s="1419" t="s">
        <v>1106</v>
      </c>
      <c r="B67" s="1401" t="s">
        <v>1463</v>
      </c>
      <c r="C67" s="1536">
        <v>0</v>
      </c>
      <c r="D67" s="1537">
        <v>0</v>
      </c>
      <c r="E67" s="1537">
        <v>134.16808900000001</v>
      </c>
      <c r="F67" s="1538">
        <v>0</v>
      </c>
      <c r="G67" s="1538">
        <v>0</v>
      </c>
      <c r="H67" s="1539">
        <v>134.16808900000001</v>
      </c>
    </row>
    <row r="68" spans="1:8">
      <c r="A68" s="1419" t="s">
        <v>1106</v>
      </c>
      <c r="B68" s="1401" t="s">
        <v>1464</v>
      </c>
      <c r="C68" s="1536">
        <v>0</v>
      </c>
      <c r="D68" s="1537">
        <v>0</v>
      </c>
      <c r="E68" s="1537">
        <v>243.68932699999999</v>
      </c>
      <c r="F68" s="1538">
        <v>0</v>
      </c>
      <c r="G68" s="1538">
        <v>0</v>
      </c>
      <c r="H68" s="1539">
        <v>243.68932699999999</v>
      </c>
    </row>
    <row r="69" spans="1:8">
      <c r="A69" s="1419" t="s">
        <v>1106</v>
      </c>
      <c r="B69" s="1401" t="s">
        <v>1465</v>
      </c>
      <c r="C69" s="1536">
        <v>0</v>
      </c>
      <c r="D69" s="1537">
        <v>0</v>
      </c>
      <c r="E69" s="1537">
        <v>85.616219999999998</v>
      </c>
      <c r="F69" s="1538">
        <v>0</v>
      </c>
      <c r="G69" s="1538">
        <v>0</v>
      </c>
      <c r="H69" s="1539">
        <v>85.616219999999998</v>
      </c>
    </row>
    <row r="70" spans="1:8">
      <c r="A70" s="1419" t="s">
        <v>1106</v>
      </c>
      <c r="B70" s="1401" t="s">
        <v>1466</v>
      </c>
      <c r="C70" s="1536">
        <v>0</v>
      </c>
      <c r="D70" s="1537">
        <v>0</v>
      </c>
      <c r="E70" s="1537">
        <v>158.992649</v>
      </c>
      <c r="F70" s="1538">
        <v>0</v>
      </c>
      <c r="G70" s="1538">
        <v>0</v>
      </c>
      <c r="H70" s="1539">
        <v>158.992649</v>
      </c>
    </row>
    <row r="71" spans="1:8">
      <c r="A71" s="1419" t="s">
        <v>1106</v>
      </c>
      <c r="B71" s="1401" t="s">
        <v>1425</v>
      </c>
      <c r="C71" s="1536">
        <v>0</v>
      </c>
      <c r="D71" s="1537">
        <v>0</v>
      </c>
      <c r="E71" s="1537">
        <v>88.381900999999999</v>
      </c>
      <c r="F71" s="1538">
        <v>0</v>
      </c>
      <c r="G71" s="1538">
        <v>0</v>
      </c>
      <c r="H71" s="1539">
        <v>88.381900999999999</v>
      </c>
    </row>
    <row r="72" spans="1:8">
      <c r="A72" s="1419" t="s">
        <v>1106</v>
      </c>
      <c r="B72" s="1401" t="s">
        <v>1467</v>
      </c>
      <c r="C72" s="1536">
        <v>0</v>
      </c>
      <c r="D72" s="1537">
        <v>0</v>
      </c>
      <c r="E72" s="1537">
        <v>98.676492999999994</v>
      </c>
      <c r="F72" s="1538">
        <v>0</v>
      </c>
      <c r="G72" s="1538">
        <v>0</v>
      </c>
      <c r="H72" s="1539">
        <v>98.676492999999994</v>
      </c>
    </row>
    <row r="73" spans="1:8">
      <c r="A73" s="1419" t="s">
        <v>1106</v>
      </c>
      <c r="B73" s="1401" t="s">
        <v>1468</v>
      </c>
      <c r="C73" s="1536">
        <v>0</v>
      </c>
      <c r="D73" s="1537">
        <v>0</v>
      </c>
      <c r="E73" s="1537">
        <v>76.129535000000004</v>
      </c>
      <c r="F73" s="1538">
        <v>0</v>
      </c>
      <c r="G73" s="1538">
        <v>0</v>
      </c>
      <c r="H73" s="1539">
        <v>76.129535000000004</v>
      </c>
    </row>
    <row r="74" spans="1:8">
      <c r="A74" s="1419" t="s">
        <v>1106</v>
      </c>
      <c r="B74" s="1401" t="s">
        <v>1469</v>
      </c>
      <c r="C74" s="1536">
        <v>0</v>
      </c>
      <c r="D74" s="1537">
        <v>0</v>
      </c>
      <c r="E74" s="1537">
        <v>158.99184399999999</v>
      </c>
      <c r="F74" s="1538">
        <v>0</v>
      </c>
      <c r="G74" s="1538">
        <v>0</v>
      </c>
      <c r="H74" s="1539">
        <v>158.99184399999999</v>
      </c>
    </row>
    <row r="75" spans="1:8">
      <c r="A75" s="1419" t="s">
        <v>1106</v>
      </c>
      <c r="B75" s="1401" t="s">
        <v>1470</v>
      </c>
      <c r="C75" s="1536">
        <v>0</v>
      </c>
      <c r="D75" s="1537">
        <v>0</v>
      </c>
      <c r="E75" s="1537">
        <v>255.42023499999999</v>
      </c>
      <c r="F75" s="1538">
        <v>0</v>
      </c>
      <c r="G75" s="1538">
        <v>0</v>
      </c>
      <c r="H75" s="1539">
        <v>255.42023499999999</v>
      </c>
    </row>
    <row r="76" spans="1:8">
      <c r="A76" s="1419" t="s">
        <v>1106</v>
      </c>
      <c r="B76" s="1401" t="s">
        <v>1427</v>
      </c>
      <c r="C76" s="1536">
        <v>0</v>
      </c>
      <c r="D76" s="1537">
        <v>0</v>
      </c>
      <c r="E76" s="1537">
        <v>146.53678600000001</v>
      </c>
      <c r="F76" s="1538">
        <v>0</v>
      </c>
      <c r="G76" s="1538">
        <v>0</v>
      </c>
      <c r="H76" s="1539">
        <v>146.53678600000001</v>
      </c>
    </row>
    <row r="77" spans="1:8">
      <c r="A77" s="1419" t="s">
        <v>1106</v>
      </c>
      <c r="B77" s="1401" t="s">
        <v>1428</v>
      </c>
      <c r="C77" s="1536">
        <v>0</v>
      </c>
      <c r="D77" s="1537">
        <v>0</v>
      </c>
      <c r="E77" s="1537">
        <v>85.615244000000004</v>
      </c>
      <c r="F77" s="1538">
        <v>0</v>
      </c>
      <c r="G77" s="1538">
        <v>0</v>
      </c>
      <c r="H77" s="1539">
        <v>85.615244000000004</v>
      </c>
    </row>
    <row r="78" spans="1:8">
      <c r="A78" s="1419" t="s">
        <v>1106</v>
      </c>
      <c r="B78" s="1401" t="s">
        <v>1473</v>
      </c>
      <c r="C78" s="1536">
        <v>0</v>
      </c>
      <c r="D78" s="1537">
        <v>0</v>
      </c>
      <c r="E78" s="1537">
        <v>219.218312</v>
      </c>
      <c r="F78" s="1538">
        <v>0</v>
      </c>
      <c r="G78" s="1538">
        <v>0</v>
      </c>
      <c r="H78" s="1539">
        <v>219.218312</v>
      </c>
    </row>
    <row r="79" spans="1:8">
      <c r="A79" s="1419" t="s">
        <v>1106</v>
      </c>
      <c r="B79" s="1401" t="s">
        <v>1474</v>
      </c>
      <c r="C79" s="1536">
        <v>0</v>
      </c>
      <c r="D79" s="1537">
        <v>0</v>
      </c>
      <c r="E79" s="1537">
        <v>347.88607999999999</v>
      </c>
      <c r="F79" s="1538">
        <v>0</v>
      </c>
      <c r="G79" s="1538">
        <v>0</v>
      </c>
      <c r="H79" s="1539">
        <v>347.88607999999999</v>
      </c>
    </row>
    <row r="80" spans="1:8">
      <c r="A80" s="1419" t="s">
        <v>1106</v>
      </c>
      <c r="B80" s="1401" t="s">
        <v>1716</v>
      </c>
      <c r="C80" s="1536">
        <v>0</v>
      </c>
      <c r="D80" s="1537">
        <v>0</v>
      </c>
      <c r="E80" s="1537">
        <v>24.893070000000002</v>
      </c>
      <c r="F80" s="1538">
        <v>0</v>
      </c>
      <c r="G80" s="1538">
        <v>0</v>
      </c>
      <c r="H80" s="1539">
        <v>24.893070000000002</v>
      </c>
    </row>
    <row r="81" spans="1:8">
      <c r="A81" s="1419" t="s">
        <v>1106</v>
      </c>
      <c r="B81" s="1401" t="s">
        <v>1475</v>
      </c>
      <c r="C81" s="1536">
        <v>0</v>
      </c>
      <c r="D81" s="1537">
        <v>0</v>
      </c>
      <c r="E81" s="1537">
        <v>131.267697</v>
      </c>
      <c r="F81" s="1538">
        <v>0</v>
      </c>
      <c r="G81" s="1538">
        <v>0</v>
      </c>
      <c r="H81" s="1539">
        <v>131.267697</v>
      </c>
    </row>
    <row r="82" spans="1:8">
      <c r="A82" s="1419" t="s">
        <v>1106</v>
      </c>
      <c r="B82" s="1401" t="s">
        <v>1476</v>
      </c>
      <c r="C82" s="1536">
        <v>0</v>
      </c>
      <c r="D82" s="1537">
        <v>0</v>
      </c>
      <c r="E82" s="1537">
        <v>49.316308999999997</v>
      </c>
      <c r="F82" s="1538">
        <v>0</v>
      </c>
      <c r="G82" s="1538">
        <v>0</v>
      </c>
      <c r="H82" s="1539">
        <v>49.316308999999997</v>
      </c>
    </row>
    <row r="83" spans="1:8">
      <c r="A83" s="1419" t="s">
        <v>1106</v>
      </c>
      <c r="B83" s="1401" t="s">
        <v>1477</v>
      </c>
      <c r="C83" s="1536">
        <v>0</v>
      </c>
      <c r="D83" s="1537">
        <v>0</v>
      </c>
      <c r="E83" s="1537">
        <v>138.11123799999999</v>
      </c>
      <c r="F83" s="1538">
        <v>0</v>
      </c>
      <c r="G83" s="1538">
        <v>0</v>
      </c>
      <c r="H83" s="1539">
        <v>138.11123799999999</v>
      </c>
    </row>
    <row r="84" spans="1:8">
      <c r="A84" s="1419" t="s">
        <v>1106</v>
      </c>
      <c r="B84" s="1401" t="s">
        <v>1478</v>
      </c>
      <c r="C84" s="1536">
        <v>0</v>
      </c>
      <c r="D84" s="1537">
        <v>0</v>
      </c>
      <c r="E84" s="1537">
        <v>157.72183799999999</v>
      </c>
      <c r="F84" s="1538">
        <v>0</v>
      </c>
      <c r="G84" s="1538">
        <v>0</v>
      </c>
      <c r="H84" s="1539">
        <v>157.72183799999999</v>
      </c>
    </row>
    <row r="85" spans="1:8">
      <c r="A85" s="1419" t="s">
        <v>1106</v>
      </c>
      <c r="B85" s="1401" t="s">
        <v>2266</v>
      </c>
      <c r="C85" s="1536">
        <v>0</v>
      </c>
      <c r="D85" s="1537">
        <v>0</v>
      </c>
      <c r="E85" s="1537">
        <v>106.389352</v>
      </c>
      <c r="F85" s="1538">
        <v>0</v>
      </c>
      <c r="G85" s="1538">
        <v>0</v>
      </c>
      <c r="H85" s="1539">
        <v>106.389352</v>
      </c>
    </row>
    <row r="86" spans="1:8">
      <c r="A86" s="1419" t="s">
        <v>1106</v>
      </c>
      <c r="B86" s="1401" t="s">
        <v>1479</v>
      </c>
      <c r="C86" s="1536">
        <v>0</v>
      </c>
      <c r="D86" s="1537">
        <v>0</v>
      </c>
      <c r="E86" s="1537">
        <v>63.052239</v>
      </c>
      <c r="F86" s="1538">
        <v>0</v>
      </c>
      <c r="G86" s="1538">
        <v>0</v>
      </c>
      <c r="H86" s="1539">
        <v>63.052239</v>
      </c>
    </row>
    <row r="87" spans="1:8">
      <c r="A87" s="1419" t="s">
        <v>1106</v>
      </c>
      <c r="B87" s="1401" t="s">
        <v>1480</v>
      </c>
      <c r="C87" s="1536">
        <v>0</v>
      </c>
      <c r="D87" s="1537">
        <v>0</v>
      </c>
      <c r="E87" s="1537">
        <v>84.679984000000005</v>
      </c>
      <c r="F87" s="1538">
        <v>0</v>
      </c>
      <c r="G87" s="1538">
        <v>0</v>
      </c>
      <c r="H87" s="1539">
        <v>84.679984000000005</v>
      </c>
    </row>
    <row r="88" spans="1:8">
      <c r="A88" s="1419" t="s">
        <v>1106</v>
      </c>
      <c r="B88" s="1401" t="s">
        <v>1482</v>
      </c>
      <c r="C88" s="1536">
        <v>0</v>
      </c>
      <c r="D88" s="1537">
        <v>0</v>
      </c>
      <c r="E88" s="1537">
        <v>222.00258500000001</v>
      </c>
      <c r="F88" s="1538">
        <v>0</v>
      </c>
      <c r="G88" s="1538">
        <v>0</v>
      </c>
      <c r="H88" s="1539">
        <v>222.00258500000001</v>
      </c>
    </row>
    <row r="89" spans="1:8">
      <c r="A89" s="1419" t="s">
        <v>1106</v>
      </c>
      <c r="B89" s="1401" t="s">
        <v>1483</v>
      </c>
      <c r="C89" s="1536">
        <v>0</v>
      </c>
      <c r="D89" s="1537">
        <v>0</v>
      </c>
      <c r="E89" s="1537">
        <v>46.191741999999998</v>
      </c>
      <c r="F89" s="1538">
        <v>0</v>
      </c>
      <c r="G89" s="1538">
        <v>0</v>
      </c>
      <c r="H89" s="1539">
        <v>46.191741999999998</v>
      </c>
    </row>
    <row r="90" spans="1:8">
      <c r="A90" s="1419" t="s">
        <v>1106</v>
      </c>
      <c r="B90" s="1401" t="s">
        <v>1430</v>
      </c>
      <c r="C90" s="1536">
        <v>0</v>
      </c>
      <c r="D90" s="1537">
        <v>0</v>
      </c>
      <c r="E90" s="1537">
        <v>136.75994700000001</v>
      </c>
      <c r="F90" s="1538">
        <v>0</v>
      </c>
      <c r="G90" s="1538">
        <v>0</v>
      </c>
      <c r="H90" s="1539">
        <v>136.75994700000001</v>
      </c>
    </row>
    <row r="91" spans="1:8">
      <c r="A91" s="1419" t="s">
        <v>1106</v>
      </c>
      <c r="B91" s="1401" t="s">
        <v>1431</v>
      </c>
      <c r="C91" s="1536">
        <v>0</v>
      </c>
      <c r="D91" s="1537">
        <v>0</v>
      </c>
      <c r="E91" s="1537">
        <v>85.413399999999996</v>
      </c>
      <c r="F91" s="1538">
        <v>0</v>
      </c>
      <c r="G91" s="1538">
        <v>0</v>
      </c>
      <c r="H91" s="1539">
        <v>85.413399999999996</v>
      </c>
    </row>
    <row r="92" spans="1:8">
      <c r="A92" s="1419" t="s">
        <v>1106</v>
      </c>
      <c r="B92" s="1401" t="s">
        <v>2267</v>
      </c>
      <c r="C92" s="1536">
        <v>0</v>
      </c>
      <c r="D92" s="1537">
        <v>0</v>
      </c>
      <c r="E92" s="1537">
        <v>51.271833999999998</v>
      </c>
      <c r="F92" s="1538">
        <v>0</v>
      </c>
      <c r="G92" s="1538">
        <v>0</v>
      </c>
      <c r="H92" s="1539">
        <v>51.271833999999998</v>
      </c>
    </row>
    <row r="93" spans="1:8">
      <c r="A93" s="1419" t="s">
        <v>1106</v>
      </c>
      <c r="B93" s="1401" t="s">
        <v>1485</v>
      </c>
      <c r="C93" s="1536">
        <v>0</v>
      </c>
      <c r="D93" s="1537">
        <v>0</v>
      </c>
      <c r="E93" s="1537">
        <v>168.34543300000001</v>
      </c>
      <c r="F93" s="1538">
        <v>0</v>
      </c>
      <c r="G93" s="1538">
        <v>0</v>
      </c>
      <c r="H93" s="1539">
        <v>168.34543300000001</v>
      </c>
    </row>
    <row r="94" spans="1:8">
      <c r="A94" s="1419" t="s">
        <v>1106</v>
      </c>
      <c r="B94" s="1401" t="s">
        <v>1486</v>
      </c>
      <c r="C94" s="1536">
        <v>0</v>
      </c>
      <c r="D94" s="1537">
        <v>0</v>
      </c>
      <c r="E94" s="1537">
        <v>132.68409700000001</v>
      </c>
      <c r="F94" s="1538">
        <v>0</v>
      </c>
      <c r="G94" s="1538">
        <v>0</v>
      </c>
      <c r="H94" s="1539">
        <v>132.68409700000001</v>
      </c>
    </row>
    <row r="95" spans="1:8">
      <c r="A95" s="1419" t="s">
        <v>1106</v>
      </c>
      <c r="B95" s="1401" t="s">
        <v>1432</v>
      </c>
      <c r="C95" s="1536">
        <v>0</v>
      </c>
      <c r="D95" s="1537">
        <v>0</v>
      </c>
      <c r="E95" s="1537">
        <v>106.09326900000001</v>
      </c>
      <c r="F95" s="1538">
        <v>0</v>
      </c>
      <c r="G95" s="1538">
        <v>0</v>
      </c>
      <c r="H95" s="1539">
        <v>106.09326900000001</v>
      </c>
    </row>
    <row r="96" spans="1:8">
      <c r="A96" s="1419" t="s">
        <v>1106</v>
      </c>
      <c r="B96" s="1401" t="s">
        <v>1433</v>
      </c>
      <c r="C96" s="1536">
        <v>0</v>
      </c>
      <c r="D96" s="1537">
        <v>0</v>
      </c>
      <c r="E96" s="1537">
        <v>129.17950500000001</v>
      </c>
      <c r="F96" s="1538">
        <v>0</v>
      </c>
      <c r="G96" s="1538">
        <v>0</v>
      </c>
      <c r="H96" s="1539">
        <v>129.17950500000001</v>
      </c>
    </row>
    <row r="97" spans="1:8">
      <c r="A97" s="1419" t="s">
        <v>1106</v>
      </c>
      <c r="B97" s="1401" t="s">
        <v>1489</v>
      </c>
      <c r="C97" s="1536">
        <v>0</v>
      </c>
      <c r="D97" s="1537">
        <v>0</v>
      </c>
      <c r="E97" s="1537">
        <v>62.265504999999997</v>
      </c>
      <c r="F97" s="1538">
        <v>0</v>
      </c>
      <c r="G97" s="1538">
        <v>0</v>
      </c>
      <c r="H97" s="1539">
        <v>62.265504999999997</v>
      </c>
    </row>
    <row r="98" spans="1:8">
      <c r="A98" s="1419" t="s">
        <v>1106</v>
      </c>
      <c r="B98" s="1401" t="s">
        <v>1490</v>
      </c>
      <c r="C98" s="1536">
        <v>0</v>
      </c>
      <c r="D98" s="1537">
        <v>0</v>
      </c>
      <c r="E98" s="1537">
        <v>88.529208999999994</v>
      </c>
      <c r="F98" s="1538">
        <v>0</v>
      </c>
      <c r="G98" s="1538">
        <v>0</v>
      </c>
      <c r="H98" s="1539">
        <v>88.529208999999994</v>
      </c>
    </row>
    <row r="99" spans="1:8">
      <c r="A99" s="1419" t="s">
        <v>1106</v>
      </c>
      <c r="B99" s="1401" t="s">
        <v>1491</v>
      </c>
      <c r="C99" s="1536">
        <v>0</v>
      </c>
      <c r="D99" s="1537">
        <v>0</v>
      </c>
      <c r="E99" s="1537">
        <v>134.49836500000001</v>
      </c>
      <c r="F99" s="1538">
        <v>0</v>
      </c>
      <c r="G99" s="1538">
        <v>0</v>
      </c>
      <c r="H99" s="1539">
        <v>134.49836500000001</v>
      </c>
    </row>
    <row r="100" spans="1:8">
      <c r="A100" s="1419" t="s">
        <v>1106</v>
      </c>
      <c r="B100" s="1401" t="s">
        <v>1492</v>
      </c>
      <c r="C100" s="1536">
        <v>0</v>
      </c>
      <c r="D100" s="1537">
        <v>0</v>
      </c>
      <c r="E100" s="1537">
        <v>94.654888</v>
      </c>
      <c r="F100" s="1538">
        <v>0</v>
      </c>
      <c r="G100" s="1538">
        <v>0</v>
      </c>
      <c r="H100" s="1539">
        <v>94.654888</v>
      </c>
    </row>
    <row r="101" spans="1:8">
      <c r="A101" s="1419" t="s">
        <v>1106</v>
      </c>
      <c r="B101" s="1401" t="s">
        <v>1493</v>
      </c>
      <c r="C101" s="1536">
        <v>0</v>
      </c>
      <c r="D101" s="1537">
        <v>0</v>
      </c>
      <c r="E101" s="1537">
        <v>297.26082200000002</v>
      </c>
      <c r="F101" s="1538">
        <v>0</v>
      </c>
      <c r="G101" s="1538">
        <v>0</v>
      </c>
      <c r="H101" s="1539">
        <v>297.26082200000002</v>
      </c>
    </row>
    <row r="102" spans="1:8">
      <c r="A102" s="1419" t="s">
        <v>1106</v>
      </c>
      <c r="B102" s="1401" t="s">
        <v>1702</v>
      </c>
      <c r="C102" s="1536">
        <v>0</v>
      </c>
      <c r="D102" s="1537">
        <v>0</v>
      </c>
      <c r="E102" s="1537">
        <v>48.000494000000003</v>
      </c>
      <c r="F102" s="1538">
        <v>0</v>
      </c>
      <c r="G102" s="1538">
        <v>0</v>
      </c>
      <c r="H102" s="1539">
        <v>48.000494000000003</v>
      </c>
    </row>
    <row r="103" spans="1:8">
      <c r="A103" s="1419" t="s">
        <v>1106</v>
      </c>
      <c r="B103" s="1401" t="s">
        <v>1703</v>
      </c>
      <c r="C103" s="1536">
        <v>0</v>
      </c>
      <c r="D103" s="1537">
        <v>0</v>
      </c>
      <c r="E103" s="1537">
        <v>42.285600000000002</v>
      </c>
      <c r="F103" s="1538">
        <v>0</v>
      </c>
      <c r="G103" s="1538">
        <v>0</v>
      </c>
      <c r="H103" s="1539">
        <v>42.285600000000002</v>
      </c>
    </row>
    <row r="104" spans="1:8">
      <c r="A104" s="1419" t="s">
        <v>1106</v>
      </c>
      <c r="B104" s="1401" t="s">
        <v>1494</v>
      </c>
      <c r="C104" s="1536">
        <v>0</v>
      </c>
      <c r="D104" s="1537">
        <v>0</v>
      </c>
      <c r="E104" s="1537">
        <v>70.160399999999996</v>
      </c>
      <c r="F104" s="1538">
        <v>0</v>
      </c>
      <c r="G104" s="1538">
        <v>0</v>
      </c>
      <c r="H104" s="1539">
        <v>70.160399999999996</v>
      </c>
    </row>
    <row r="105" spans="1:8">
      <c r="A105" s="1419" t="s">
        <v>1106</v>
      </c>
      <c r="B105" s="1401" t="s">
        <v>1704</v>
      </c>
      <c r="C105" s="1536">
        <v>0</v>
      </c>
      <c r="D105" s="1537">
        <v>0</v>
      </c>
      <c r="E105" s="1537">
        <v>41.4</v>
      </c>
      <c r="F105" s="1538">
        <v>0</v>
      </c>
      <c r="G105" s="1538">
        <v>0</v>
      </c>
      <c r="H105" s="1539">
        <v>41.4</v>
      </c>
    </row>
    <row r="106" spans="1:8">
      <c r="A106" s="1419" t="s">
        <v>1106</v>
      </c>
      <c r="B106" s="1401" t="s">
        <v>1705</v>
      </c>
      <c r="C106" s="1536">
        <v>0</v>
      </c>
      <c r="D106" s="1537">
        <v>0</v>
      </c>
      <c r="E106" s="1537">
        <v>4.7241379999999999</v>
      </c>
      <c r="F106" s="1538">
        <v>0</v>
      </c>
      <c r="G106" s="1538">
        <v>0</v>
      </c>
      <c r="H106" s="1539">
        <v>4.7241379999999999</v>
      </c>
    </row>
    <row r="107" spans="1:8">
      <c r="A107" s="1419" t="s">
        <v>1106</v>
      </c>
      <c r="B107" s="1401" t="s">
        <v>1434</v>
      </c>
      <c r="C107" s="1536">
        <v>0</v>
      </c>
      <c r="D107" s="1537">
        <v>0</v>
      </c>
      <c r="E107" s="1537">
        <v>248.02738099999999</v>
      </c>
      <c r="F107" s="1538">
        <v>0</v>
      </c>
      <c r="G107" s="1538">
        <v>0</v>
      </c>
      <c r="H107" s="1539">
        <v>248.02738099999999</v>
      </c>
    </row>
    <row r="108" spans="1:8">
      <c r="A108" s="1419" t="s">
        <v>1106</v>
      </c>
      <c r="B108" s="1401" t="s">
        <v>1495</v>
      </c>
      <c r="C108" s="1536">
        <v>0</v>
      </c>
      <c r="D108" s="1537">
        <v>0</v>
      </c>
      <c r="E108" s="1537">
        <v>188.92318900000001</v>
      </c>
      <c r="F108" s="1538">
        <v>0</v>
      </c>
      <c r="G108" s="1538">
        <v>0</v>
      </c>
      <c r="H108" s="1539">
        <v>188.92318900000001</v>
      </c>
    </row>
    <row r="109" spans="1:8">
      <c r="A109" s="1419" t="s">
        <v>1106</v>
      </c>
      <c r="B109" s="1401" t="s">
        <v>1435</v>
      </c>
      <c r="C109" s="1536">
        <v>0</v>
      </c>
      <c r="D109" s="1537">
        <v>0</v>
      </c>
      <c r="E109" s="1537">
        <v>252.86647099999999</v>
      </c>
      <c r="F109" s="1538">
        <v>0</v>
      </c>
      <c r="G109" s="1538">
        <v>0</v>
      </c>
      <c r="H109" s="1539">
        <v>252.86647099999999</v>
      </c>
    </row>
    <row r="110" spans="1:8">
      <c r="A110" s="1419" t="s">
        <v>1106</v>
      </c>
      <c r="B110" s="1401" t="s">
        <v>1436</v>
      </c>
      <c r="C110" s="1536">
        <v>0</v>
      </c>
      <c r="D110" s="1537">
        <v>0</v>
      </c>
      <c r="E110" s="1537">
        <v>448.12981600000001</v>
      </c>
      <c r="F110" s="1538">
        <v>0</v>
      </c>
      <c r="G110" s="1538">
        <v>0</v>
      </c>
      <c r="H110" s="1539">
        <v>448.12981600000001</v>
      </c>
    </row>
    <row r="111" spans="1:8">
      <c r="A111" s="1419" t="s">
        <v>1106</v>
      </c>
      <c r="B111" s="1401" t="s">
        <v>1437</v>
      </c>
      <c r="C111" s="1536">
        <v>0</v>
      </c>
      <c r="D111" s="1537">
        <v>0</v>
      </c>
      <c r="E111" s="1537">
        <v>37.515377000000001</v>
      </c>
      <c r="F111" s="1538">
        <v>0</v>
      </c>
      <c r="G111" s="1538">
        <v>0</v>
      </c>
      <c r="H111" s="1539">
        <v>37.515377000000001</v>
      </c>
    </row>
    <row r="112" spans="1:8">
      <c r="A112" s="1419" t="s">
        <v>1106</v>
      </c>
      <c r="B112" s="1401" t="s">
        <v>1496</v>
      </c>
      <c r="C112" s="1536">
        <v>0</v>
      </c>
      <c r="D112" s="1537">
        <v>0</v>
      </c>
      <c r="E112" s="1537">
        <v>142.16850099999999</v>
      </c>
      <c r="F112" s="1538">
        <v>0</v>
      </c>
      <c r="G112" s="1538">
        <v>0</v>
      </c>
      <c r="H112" s="1539">
        <v>142.16850099999999</v>
      </c>
    </row>
    <row r="113" spans="1:8">
      <c r="A113" s="1419" t="s">
        <v>1106</v>
      </c>
      <c r="B113" s="1401" t="s">
        <v>1497</v>
      </c>
      <c r="C113" s="1536">
        <v>0</v>
      </c>
      <c r="D113" s="1537">
        <v>0</v>
      </c>
      <c r="E113" s="1537">
        <v>19.291937000000001</v>
      </c>
      <c r="F113" s="1538">
        <v>0</v>
      </c>
      <c r="G113" s="1538">
        <v>0</v>
      </c>
      <c r="H113" s="1539">
        <v>19.291937000000001</v>
      </c>
    </row>
    <row r="114" spans="1:8">
      <c r="A114" s="1419" t="s">
        <v>1106</v>
      </c>
      <c r="B114" s="1401" t="s">
        <v>2268</v>
      </c>
      <c r="C114" s="1536">
        <v>0</v>
      </c>
      <c r="D114" s="1537">
        <v>0</v>
      </c>
      <c r="E114" s="1537">
        <v>40.302799999999998</v>
      </c>
      <c r="F114" s="1538">
        <v>0</v>
      </c>
      <c r="G114" s="1538">
        <v>0</v>
      </c>
      <c r="H114" s="1539">
        <v>40.302799999999998</v>
      </c>
    </row>
    <row r="115" spans="1:8">
      <c r="A115" s="1419" t="s">
        <v>1106</v>
      </c>
      <c r="B115" s="1401" t="s">
        <v>2269</v>
      </c>
      <c r="C115" s="1536">
        <v>118.025865</v>
      </c>
      <c r="D115" s="1537">
        <v>0</v>
      </c>
      <c r="E115" s="1537">
        <v>0</v>
      </c>
      <c r="F115" s="1538">
        <v>0</v>
      </c>
      <c r="G115" s="1538">
        <v>0</v>
      </c>
      <c r="H115" s="1539">
        <v>118.025865</v>
      </c>
    </row>
    <row r="116" spans="1:8">
      <c r="A116" s="1419" t="s">
        <v>1106</v>
      </c>
      <c r="B116" s="1401" t="s">
        <v>1498</v>
      </c>
      <c r="C116" s="1536">
        <v>76.044456999999994</v>
      </c>
      <c r="D116" s="1537">
        <v>0</v>
      </c>
      <c r="E116" s="1537">
        <v>0</v>
      </c>
      <c r="F116" s="1538">
        <v>0</v>
      </c>
      <c r="G116" s="1538">
        <v>0</v>
      </c>
      <c r="H116" s="1539">
        <v>76.044456999999994</v>
      </c>
    </row>
    <row r="117" spans="1:8">
      <c r="A117" s="1419" t="s">
        <v>1106</v>
      </c>
      <c r="B117" s="1401" t="s">
        <v>1504</v>
      </c>
      <c r="C117" s="1536">
        <v>27.096768000000001</v>
      </c>
      <c r="D117" s="1537">
        <v>0</v>
      </c>
      <c r="E117" s="1537">
        <v>0</v>
      </c>
      <c r="F117" s="1538">
        <v>0</v>
      </c>
      <c r="G117" s="1538">
        <v>0</v>
      </c>
      <c r="H117" s="1539">
        <v>27.096768000000001</v>
      </c>
    </row>
    <row r="118" spans="1:8">
      <c r="A118" s="1419" t="s">
        <v>1106</v>
      </c>
      <c r="B118" s="1401" t="s">
        <v>1505</v>
      </c>
      <c r="C118" s="1536">
        <v>92.950856999999999</v>
      </c>
      <c r="D118" s="1537">
        <v>0</v>
      </c>
      <c r="E118" s="1537">
        <v>0</v>
      </c>
      <c r="F118" s="1538">
        <v>0</v>
      </c>
      <c r="G118" s="1538">
        <v>0</v>
      </c>
      <c r="H118" s="1539">
        <v>92.950856999999999</v>
      </c>
    </row>
    <row r="119" spans="1:8">
      <c r="A119" s="1419" t="s">
        <v>1106</v>
      </c>
      <c r="B119" s="1401" t="s">
        <v>1717</v>
      </c>
      <c r="C119" s="1536">
        <v>34.526000000000003</v>
      </c>
      <c r="D119" s="1537">
        <v>0</v>
      </c>
      <c r="E119" s="1537">
        <v>0</v>
      </c>
      <c r="F119" s="1538">
        <v>0</v>
      </c>
      <c r="G119" s="1538">
        <v>0</v>
      </c>
      <c r="H119" s="1539">
        <v>34.526000000000003</v>
      </c>
    </row>
    <row r="120" spans="1:8">
      <c r="A120" s="1419" t="s">
        <v>1106</v>
      </c>
      <c r="B120" s="1401" t="s">
        <v>1506</v>
      </c>
      <c r="C120" s="1536">
        <v>190.86367899999999</v>
      </c>
      <c r="D120" s="1537">
        <v>0</v>
      </c>
      <c r="E120" s="1537">
        <v>0</v>
      </c>
      <c r="F120" s="1538">
        <v>0</v>
      </c>
      <c r="G120" s="1538">
        <v>0</v>
      </c>
      <c r="H120" s="1539">
        <v>190.86367899999999</v>
      </c>
    </row>
    <row r="121" spans="1:8">
      <c r="A121" s="1419" t="s">
        <v>1106</v>
      </c>
      <c r="B121" s="1401" t="s">
        <v>1507</v>
      </c>
      <c r="C121" s="1536">
        <v>95.922664999999995</v>
      </c>
      <c r="D121" s="1537">
        <v>0</v>
      </c>
      <c r="E121" s="1537">
        <v>0</v>
      </c>
      <c r="F121" s="1538">
        <v>0</v>
      </c>
      <c r="G121" s="1538">
        <v>0</v>
      </c>
      <c r="H121" s="1539">
        <v>95.922664999999995</v>
      </c>
    </row>
    <row r="122" spans="1:8">
      <c r="A122" s="1419" t="s">
        <v>1106</v>
      </c>
      <c r="B122" s="1401" t="s">
        <v>1438</v>
      </c>
      <c r="C122" s="1536">
        <v>148.574579</v>
      </c>
      <c r="D122" s="1537">
        <v>0</v>
      </c>
      <c r="E122" s="1537">
        <v>0</v>
      </c>
      <c r="F122" s="1538">
        <v>0</v>
      </c>
      <c r="G122" s="1538">
        <v>0</v>
      </c>
      <c r="H122" s="1539">
        <v>148.574579</v>
      </c>
    </row>
    <row r="123" spans="1:8">
      <c r="A123" s="1419" t="s">
        <v>1106</v>
      </c>
      <c r="B123" s="1401" t="s">
        <v>1439</v>
      </c>
      <c r="C123" s="1536">
        <v>91.728477999999996</v>
      </c>
      <c r="D123" s="1537">
        <v>0</v>
      </c>
      <c r="E123" s="1537">
        <v>0</v>
      </c>
      <c r="F123" s="1538">
        <v>0</v>
      </c>
      <c r="G123" s="1538">
        <v>0</v>
      </c>
      <c r="H123" s="1539">
        <v>91.728477999999996</v>
      </c>
    </row>
    <row r="124" spans="1:8">
      <c r="A124" s="1419" t="s">
        <v>1106</v>
      </c>
      <c r="B124" s="1401" t="s">
        <v>1508</v>
      </c>
      <c r="C124" s="1536">
        <v>148.26124899999999</v>
      </c>
      <c r="D124" s="1537">
        <v>0</v>
      </c>
      <c r="E124" s="1537">
        <v>0</v>
      </c>
      <c r="F124" s="1538">
        <v>0</v>
      </c>
      <c r="G124" s="1538">
        <v>0</v>
      </c>
      <c r="H124" s="1539">
        <v>148.26124899999999</v>
      </c>
    </row>
    <row r="125" spans="1:8">
      <c r="A125" s="1419" t="s">
        <v>1106</v>
      </c>
      <c r="B125" s="1401" t="s">
        <v>1509</v>
      </c>
      <c r="C125" s="1536">
        <v>162.179179</v>
      </c>
      <c r="D125" s="1537">
        <v>0</v>
      </c>
      <c r="E125" s="1537">
        <v>0</v>
      </c>
      <c r="F125" s="1538">
        <v>0</v>
      </c>
      <c r="G125" s="1538">
        <v>0</v>
      </c>
      <c r="H125" s="1539">
        <v>162.179179</v>
      </c>
    </row>
    <row r="126" spans="1:8">
      <c r="A126" s="1419" t="s">
        <v>1106</v>
      </c>
      <c r="B126" s="1401" t="s">
        <v>1511</v>
      </c>
      <c r="C126" s="1536">
        <v>9.3132619999999999</v>
      </c>
      <c r="D126" s="1537">
        <v>0</v>
      </c>
      <c r="E126" s="1537">
        <v>0</v>
      </c>
      <c r="F126" s="1538">
        <v>0</v>
      </c>
      <c r="G126" s="1538">
        <v>0</v>
      </c>
      <c r="H126" s="1539">
        <v>9.3132619999999999</v>
      </c>
    </row>
    <row r="127" spans="1:8">
      <c r="A127" s="1419" t="s">
        <v>1106</v>
      </c>
      <c r="B127" s="1401" t="s">
        <v>1512</v>
      </c>
      <c r="C127" s="1536">
        <v>81.284695999999997</v>
      </c>
      <c r="D127" s="1537">
        <v>0</v>
      </c>
      <c r="E127" s="1537">
        <v>0</v>
      </c>
      <c r="F127" s="1538">
        <v>0</v>
      </c>
      <c r="G127" s="1538">
        <v>0</v>
      </c>
      <c r="H127" s="1539">
        <v>81.284695999999997</v>
      </c>
    </row>
    <row r="128" spans="1:8">
      <c r="A128" s="1419" t="s">
        <v>1106</v>
      </c>
      <c r="B128" s="1401" t="s">
        <v>1706</v>
      </c>
      <c r="C128" s="1536">
        <v>188.794318</v>
      </c>
      <c r="D128" s="1537">
        <v>0</v>
      </c>
      <c r="E128" s="1537">
        <v>0</v>
      </c>
      <c r="F128" s="1538">
        <v>0</v>
      </c>
      <c r="G128" s="1538">
        <v>0</v>
      </c>
      <c r="H128" s="1539">
        <v>188.794318</v>
      </c>
    </row>
    <row r="129" spans="1:8">
      <c r="A129" s="1419" t="s">
        <v>1106</v>
      </c>
      <c r="B129" s="1401" t="s">
        <v>1514</v>
      </c>
      <c r="C129" s="1536">
        <v>113.80352600000001</v>
      </c>
      <c r="D129" s="1537">
        <v>0</v>
      </c>
      <c r="E129" s="1537">
        <v>0</v>
      </c>
      <c r="F129" s="1538">
        <v>0</v>
      </c>
      <c r="G129" s="1538">
        <v>0</v>
      </c>
      <c r="H129" s="1539">
        <v>113.80352600000001</v>
      </c>
    </row>
    <row r="130" spans="1:8">
      <c r="A130" s="1419" t="s">
        <v>1106</v>
      </c>
      <c r="B130" s="1401" t="s">
        <v>1440</v>
      </c>
      <c r="C130" s="1536">
        <v>289.93132100000003</v>
      </c>
      <c r="D130" s="1537">
        <v>0</v>
      </c>
      <c r="E130" s="1537">
        <v>0</v>
      </c>
      <c r="F130" s="1538">
        <v>0</v>
      </c>
      <c r="G130" s="1538">
        <v>0</v>
      </c>
      <c r="H130" s="1539">
        <v>289.93132100000003</v>
      </c>
    </row>
    <row r="131" spans="1:8">
      <c r="A131" s="1419" t="s">
        <v>1106</v>
      </c>
      <c r="B131" s="1401" t="s">
        <v>1515</v>
      </c>
      <c r="C131" s="1536">
        <v>91.482455000000002</v>
      </c>
      <c r="D131" s="1537">
        <v>0</v>
      </c>
      <c r="E131" s="1537">
        <v>0</v>
      </c>
      <c r="F131" s="1538">
        <v>0</v>
      </c>
      <c r="G131" s="1538">
        <v>0</v>
      </c>
      <c r="H131" s="1539">
        <v>91.482455000000002</v>
      </c>
    </row>
    <row r="132" spans="1:8">
      <c r="A132" s="1419" t="s">
        <v>1106</v>
      </c>
      <c r="B132" s="1401" t="s">
        <v>1516</v>
      </c>
      <c r="C132" s="1536">
        <v>146.541023</v>
      </c>
      <c r="D132" s="1537">
        <v>0</v>
      </c>
      <c r="E132" s="1537">
        <v>0</v>
      </c>
      <c r="F132" s="1538">
        <v>0</v>
      </c>
      <c r="G132" s="1538">
        <v>0</v>
      </c>
      <c r="H132" s="1539">
        <v>146.541023</v>
      </c>
    </row>
    <row r="133" spans="1:8">
      <c r="A133" s="1419" t="s">
        <v>1106</v>
      </c>
      <c r="B133" s="1401" t="s">
        <v>1517</v>
      </c>
      <c r="C133" s="1536">
        <v>39.542133</v>
      </c>
      <c r="D133" s="1537">
        <v>0</v>
      </c>
      <c r="E133" s="1537">
        <v>0</v>
      </c>
      <c r="F133" s="1538">
        <v>0</v>
      </c>
      <c r="G133" s="1538">
        <v>0</v>
      </c>
      <c r="H133" s="1539">
        <v>39.542133</v>
      </c>
    </row>
    <row r="134" spans="1:8">
      <c r="A134" s="1419" t="s">
        <v>1106</v>
      </c>
      <c r="B134" s="1401" t="s">
        <v>1441</v>
      </c>
      <c r="C134" s="1536">
        <v>58.987022000000003</v>
      </c>
      <c r="D134" s="1537">
        <v>0</v>
      </c>
      <c r="E134" s="1537">
        <v>0</v>
      </c>
      <c r="F134" s="1538">
        <v>0</v>
      </c>
      <c r="G134" s="1538">
        <v>0</v>
      </c>
      <c r="H134" s="1539">
        <v>58.987022000000003</v>
      </c>
    </row>
    <row r="135" spans="1:8">
      <c r="A135" s="1419" t="s">
        <v>1106</v>
      </c>
      <c r="B135" s="1401" t="s">
        <v>1519</v>
      </c>
      <c r="C135" s="1536">
        <v>75.048849000000004</v>
      </c>
      <c r="D135" s="1537">
        <v>0</v>
      </c>
      <c r="E135" s="1537">
        <v>0</v>
      </c>
      <c r="F135" s="1538">
        <v>0</v>
      </c>
      <c r="G135" s="1538">
        <v>0</v>
      </c>
      <c r="H135" s="1539">
        <v>75.048849000000004</v>
      </c>
    </row>
    <row r="136" spans="1:8">
      <c r="A136" s="1419" t="s">
        <v>1106</v>
      </c>
      <c r="B136" s="1401" t="s">
        <v>1520</v>
      </c>
      <c r="C136" s="1536">
        <v>110.260288</v>
      </c>
      <c r="D136" s="1537">
        <v>0</v>
      </c>
      <c r="E136" s="1537">
        <v>0</v>
      </c>
      <c r="F136" s="1538">
        <v>0</v>
      </c>
      <c r="G136" s="1538">
        <v>0</v>
      </c>
      <c r="H136" s="1539">
        <v>110.260288</v>
      </c>
    </row>
    <row r="137" spans="1:8">
      <c r="A137" s="1419" t="s">
        <v>1106</v>
      </c>
      <c r="B137" s="1401" t="s">
        <v>1521</v>
      </c>
      <c r="C137" s="1536">
        <v>91.300976000000006</v>
      </c>
      <c r="D137" s="1537">
        <v>0</v>
      </c>
      <c r="E137" s="1537">
        <v>0</v>
      </c>
      <c r="F137" s="1538">
        <v>0</v>
      </c>
      <c r="G137" s="1538">
        <v>0</v>
      </c>
      <c r="H137" s="1539">
        <v>91.300976000000006</v>
      </c>
    </row>
    <row r="138" spans="1:8">
      <c r="A138" s="1419" t="s">
        <v>1106</v>
      </c>
      <c r="B138" s="1401" t="s">
        <v>1522</v>
      </c>
      <c r="C138" s="1536">
        <v>37.643569999999997</v>
      </c>
      <c r="D138" s="1537">
        <v>0</v>
      </c>
      <c r="E138" s="1537">
        <v>0</v>
      </c>
      <c r="F138" s="1538">
        <v>0</v>
      </c>
      <c r="G138" s="1538">
        <v>0</v>
      </c>
      <c r="H138" s="1539">
        <v>37.643569999999997</v>
      </c>
    </row>
    <row r="139" spans="1:8">
      <c r="A139" s="1419" t="s">
        <v>1106</v>
      </c>
      <c r="B139" s="1401" t="s">
        <v>1444</v>
      </c>
      <c r="C139" s="1536">
        <v>234.074613</v>
      </c>
      <c r="D139" s="1537">
        <v>0</v>
      </c>
      <c r="E139" s="1537">
        <v>0</v>
      </c>
      <c r="F139" s="1538">
        <v>0</v>
      </c>
      <c r="G139" s="1538">
        <v>0</v>
      </c>
      <c r="H139" s="1539">
        <v>234.074613</v>
      </c>
    </row>
    <row r="140" spans="1:8">
      <c r="A140" s="1419" t="s">
        <v>1106</v>
      </c>
      <c r="B140" s="1401" t="s">
        <v>1524</v>
      </c>
      <c r="C140" s="1536">
        <v>273.55406299999999</v>
      </c>
      <c r="D140" s="1537">
        <v>0</v>
      </c>
      <c r="E140" s="1537">
        <v>0</v>
      </c>
      <c r="F140" s="1538">
        <v>0</v>
      </c>
      <c r="G140" s="1538">
        <v>0</v>
      </c>
      <c r="H140" s="1539">
        <v>273.55406299999999</v>
      </c>
    </row>
    <row r="141" spans="1:8">
      <c r="A141" s="1419" t="s">
        <v>1106</v>
      </c>
      <c r="B141" s="1401" t="s">
        <v>1525</v>
      </c>
      <c r="C141" s="1536">
        <v>49.739018999999999</v>
      </c>
      <c r="D141" s="1537">
        <v>0</v>
      </c>
      <c r="E141" s="1537">
        <v>0</v>
      </c>
      <c r="F141" s="1538">
        <v>0</v>
      </c>
      <c r="G141" s="1538">
        <v>0</v>
      </c>
      <c r="H141" s="1539">
        <v>49.739018999999999</v>
      </c>
    </row>
    <row r="142" spans="1:8">
      <c r="A142" s="1419" t="s">
        <v>1106</v>
      </c>
      <c r="B142" s="1401" t="s">
        <v>1526</v>
      </c>
      <c r="C142" s="1536">
        <v>19.223034999999999</v>
      </c>
      <c r="D142" s="1537">
        <v>0</v>
      </c>
      <c r="E142" s="1537">
        <v>0</v>
      </c>
      <c r="F142" s="1538">
        <v>0</v>
      </c>
      <c r="G142" s="1538">
        <v>0</v>
      </c>
      <c r="H142" s="1539">
        <v>19.223034999999999</v>
      </c>
    </row>
    <row r="143" spans="1:8">
      <c r="A143" s="1419" t="s">
        <v>1106</v>
      </c>
      <c r="B143" s="1401" t="s">
        <v>1527</v>
      </c>
      <c r="C143" s="1536">
        <v>21.675953</v>
      </c>
      <c r="D143" s="1537">
        <v>0</v>
      </c>
      <c r="E143" s="1537">
        <v>0</v>
      </c>
      <c r="F143" s="1538">
        <v>0</v>
      </c>
      <c r="G143" s="1538">
        <v>0</v>
      </c>
      <c r="H143" s="1539">
        <v>21.675953</v>
      </c>
    </row>
    <row r="144" spans="1:8">
      <c r="A144" s="1419" t="s">
        <v>1106</v>
      </c>
      <c r="B144" s="1401" t="s">
        <v>1528</v>
      </c>
      <c r="C144" s="1536">
        <v>122.486679</v>
      </c>
      <c r="D144" s="1537">
        <v>0</v>
      </c>
      <c r="E144" s="1537">
        <v>0</v>
      </c>
      <c r="F144" s="1538">
        <v>0</v>
      </c>
      <c r="G144" s="1538">
        <v>0</v>
      </c>
      <c r="H144" s="1539">
        <v>122.486679</v>
      </c>
    </row>
    <row r="145" spans="1:8">
      <c r="A145" s="1419" t="s">
        <v>1106</v>
      </c>
      <c r="B145" s="1401" t="s">
        <v>1529</v>
      </c>
      <c r="C145" s="1536">
        <v>59.883794999999999</v>
      </c>
      <c r="D145" s="1537">
        <v>0</v>
      </c>
      <c r="E145" s="1537">
        <v>0</v>
      </c>
      <c r="F145" s="1538">
        <v>0</v>
      </c>
      <c r="G145" s="1538">
        <v>0</v>
      </c>
      <c r="H145" s="1539">
        <v>59.883794999999999</v>
      </c>
    </row>
    <row r="146" spans="1:8">
      <c r="A146" s="1419" t="s">
        <v>1106</v>
      </c>
      <c r="B146" s="1401" t="s">
        <v>1530</v>
      </c>
      <c r="C146" s="1536">
        <v>68.680035000000004</v>
      </c>
      <c r="D146" s="1537">
        <v>0</v>
      </c>
      <c r="E146" s="1537">
        <v>0</v>
      </c>
      <c r="F146" s="1538">
        <v>0</v>
      </c>
      <c r="G146" s="1538">
        <v>0</v>
      </c>
      <c r="H146" s="1539">
        <v>68.680035000000004</v>
      </c>
    </row>
    <row r="147" spans="1:8">
      <c r="A147" s="1419" t="s">
        <v>1106</v>
      </c>
      <c r="B147" s="1401" t="s">
        <v>1445</v>
      </c>
      <c r="C147" s="1536">
        <v>132.743548</v>
      </c>
      <c r="D147" s="1537">
        <v>0</v>
      </c>
      <c r="E147" s="1537">
        <v>0</v>
      </c>
      <c r="F147" s="1538">
        <v>0</v>
      </c>
      <c r="G147" s="1538">
        <v>0</v>
      </c>
      <c r="H147" s="1539">
        <v>132.743548</v>
      </c>
    </row>
    <row r="148" spans="1:8">
      <c r="A148" s="1419" t="s">
        <v>1106</v>
      </c>
      <c r="B148" s="1401" t="s">
        <v>1446</v>
      </c>
      <c r="C148" s="1536">
        <v>87.197047999999995</v>
      </c>
      <c r="D148" s="1537">
        <v>0</v>
      </c>
      <c r="E148" s="1537">
        <v>0</v>
      </c>
      <c r="F148" s="1538">
        <v>0</v>
      </c>
      <c r="G148" s="1538">
        <v>0</v>
      </c>
      <c r="H148" s="1539">
        <v>87.197047999999995</v>
      </c>
    </row>
    <row r="149" spans="1:8">
      <c r="A149" s="1419" t="s">
        <v>1106</v>
      </c>
      <c r="B149" s="1401" t="s">
        <v>1532</v>
      </c>
      <c r="C149" s="1536">
        <v>79.740330999999998</v>
      </c>
      <c r="D149" s="1537">
        <v>0</v>
      </c>
      <c r="E149" s="1537">
        <v>0</v>
      </c>
      <c r="F149" s="1538">
        <v>0</v>
      </c>
      <c r="G149" s="1538">
        <v>0</v>
      </c>
      <c r="H149" s="1539">
        <v>79.740330999999998</v>
      </c>
    </row>
    <row r="150" spans="1:8">
      <c r="A150" s="1419" t="s">
        <v>1106</v>
      </c>
      <c r="B150" s="1401" t="s">
        <v>1538</v>
      </c>
      <c r="C150" s="1536">
        <v>219.98869099999999</v>
      </c>
      <c r="D150" s="1537">
        <v>0</v>
      </c>
      <c r="E150" s="1537">
        <v>0</v>
      </c>
      <c r="F150" s="1538">
        <v>0</v>
      </c>
      <c r="G150" s="1538">
        <v>0</v>
      </c>
      <c r="H150" s="1539">
        <v>219.98869099999999</v>
      </c>
    </row>
    <row r="151" spans="1:8">
      <c r="A151" s="1419" t="s">
        <v>1106</v>
      </c>
      <c r="B151" s="1401" t="s">
        <v>1533</v>
      </c>
      <c r="C151" s="1536">
        <v>128.561127</v>
      </c>
      <c r="D151" s="1537">
        <v>0</v>
      </c>
      <c r="E151" s="1537">
        <v>0</v>
      </c>
      <c r="F151" s="1538">
        <v>0</v>
      </c>
      <c r="G151" s="1538">
        <v>0</v>
      </c>
      <c r="H151" s="1539">
        <v>128.561127</v>
      </c>
    </row>
    <row r="152" spans="1:8">
      <c r="A152" s="1419" t="s">
        <v>1106</v>
      </c>
      <c r="B152" s="1401" t="s">
        <v>1534</v>
      </c>
      <c r="C152" s="1536">
        <v>54.789790000000004</v>
      </c>
      <c r="D152" s="1537">
        <v>0</v>
      </c>
      <c r="E152" s="1537">
        <v>0</v>
      </c>
      <c r="F152" s="1538">
        <v>0</v>
      </c>
      <c r="G152" s="1538">
        <v>0</v>
      </c>
      <c r="H152" s="1539">
        <v>54.789790000000004</v>
      </c>
    </row>
    <row r="153" spans="1:8">
      <c r="A153" s="1419" t="s">
        <v>1106</v>
      </c>
      <c r="B153" s="1401" t="s">
        <v>1447</v>
      </c>
      <c r="C153" s="1536">
        <v>106.426815</v>
      </c>
      <c r="D153" s="1537">
        <v>0</v>
      </c>
      <c r="E153" s="1537">
        <v>0</v>
      </c>
      <c r="F153" s="1538">
        <v>0</v>
      </c>
      <c r="G153" s="1538">
        <v>0</v>
      </c>
      <c r="H153" s="1539">
        <v>106.426815</v>
      </c>
    </row>
    <row r="154" spans="1:8">
      <c r="A154" s="1419" t="s">
        <v>1106</v>
      </c>
      <c r="B154" s="1401" t="s">
        <v>1535</v>
      </c>
      <c r="C154" s="1536">
        <v>78.892319000000001</v>
      </c>
      <c r="D154" s="1537">
        <v>0</v>
      </c>
      <c r="E154" s="1537">
        <v>0</v>
      </c>
      <c r="F154" s="1538">
        <v>0</v>
      </c>
      <c r="G154" s="1538">
        <v>0</v>
      </c>
      <c r="H154" s="1539">
        <v>78.892319000000001</v>
      </c>
    </row>
    <row r="155" spans="1:8">
      <c r="A155" s="1419" t="s">
        <v>1106</v>
      </c>
      <c r="B155" s="1401" t="s">
        <v>1536</v>
      </c>
      <c r="C155" s="1536">
        <v>32.628203999999997</v>
      </c>
      <c r="D155" s="1537">
        <v>0</v>
      </c>
      <c r="E155" s="1537">
        <v>0</v>
      </c>
      <c r="F155" s="1538">
        <v>0</v>
      </c>
      <c r="G155" s="1538">
        <v>0</v>
      </c>
      <c r="H155" s="1539">
        <v>32.628203999999997</v>
      </c>
    </row>
    <row r="156" spans="1:8">
      <c r="A156" s="1419" t="s">
        <v>1106</v>
      </c>
      <c r="B156" s="1401" t="s">
        <v>1537</v>
      </c>
      <c r="C156" s="1536">
        <v>224.21638400000001</v>
      </c>
      <c r="D156" s="1537">
        <v>0</v>
      </c>
      <c r="E156" s="1537">
        <v>0</v>
      </c>
      <c r="F156" s="1538">
        <v>0</v>
      </c>
      <c r="G156" s="1538">
        <v>0</v>
      </c>
      <c r="H156" s="1539">
        <v>224.21638400000001</v>
      </c>
    </row>
    <row r="157" spans="1:8">
      <c r="A157" s="1419" t="s">
        <v>1106</v>
      </c>
      <c r="B157" s="1401" t="s">
        <v>1448</v>
      </c>
      <c r="C157" s="1536">
        <v>250.89516499999999</v>
      </c>
      <c r="D157" s="1537">
        <v>0</v>
      </c>
      <c r="E157" s="1537">
        <v>0</v>
      </c>
      <c r="F157" s="1538">
        <v>0</v>
      </c>
      <c r="G157" s="1538">
        <v>0</v>
      </c>
      <c r="H157" s="1539">
        <v>250.89516499999999</v>
      </c>
    </row>
    <row r="158" spans="1:8">
      <c r="A158" s="1419" t="s">
        <v>1106</v>
      </c>
      <c r="B158" s="1401" t="s">
        <v>1539</v>
      </c>
      <c r="C158" s="1536">
        <v>54.521483000000003</v>
      </c>
      <c r="D158" s="1537">
        <v>0</v>
      </c>
      <c r="E158" s="1537">
        <v>0</v>
      </c>
      <c r="F158" s="1538">
        <v>0</v>
      </c>
      <c r="G158" s="1538">
        <v>0</v>
      </c>
      <c r="H158" s="1539">
        <v>54.521483000000003</v>
      </c>
    </row>
    <row r="159" spans="1:8">
      <c r="A159" s="1419" t="s">
        <v>1106</v>
      </c>
      <c r="B159" s="1401" t="s">
        <v>1541</v>
      </c>
      <c r="C159" s="1536">
        <v>35.479669000000001</v>
      </c>
      <c r="D159" s="1537">
        <v>0</v>
      </c>
      <c r="E159" s="1537">
        <v>0</v>
      </c>
      <c r="F159" s="1538">
        <v>0</v>
      </c>
      <c r="G159" s="1538">
        <v>0</v>
      </c>
      <c r="H159" s="1539">
        <v>35.479669000000001</v>
      </c>
    </row>
    <row r="160" spans="1:8">
      <c r="A160" s="1419" t="s">
        <v>1106</v>
      </c>
      <c r="B160" s="1401" t="s">
        <v>2270</v>
      </c>
      <c r="C160" s="1536">
        <v>110.560428</v>
      </c>
      <c r="D160" s="1537">
        <v>0</v>
      </c>
      <c r="E160" s="1537">
        <v>0</v>
      </c>
      <c r="F160" s="1538">
        <v>0</v>
      </c>
      <c r="G160" s="1538">
        <v>0</v>
      </c>
      <c r="H160" s="1539">
        <v>110.560428</v>
      </c>
    </row>
    <row r="161" spans="1:8">
      <c r="A161" s="1419" t="s">
        <v>1106</v>
      </c>
      <c r="B161" s="1401" t="s">
        <v>1449</v>
      </c>
      <c r="C161" s="1536">
        <v>166.05609100000001</v>
      </c>
      <c r="D161" s="1537">
        <v>0</v>
      </c>
      <c r="E161" s="1537">
        <v>0</v>
      </c>
      <c r="F161" s="1538">
        <v>0</v>
      </c>
      <c r="G161" s="1538">
        <v>0</v>
      </c>
      <c r="H161" s="1539">
        <v>166.05609100000001</v>
      </c>
    </row>
    <row r="162" spans="1:8">
      <c r="A162" s="1419" t="s">
        <v>1106</v>
      </c>
      <c r="B162" s="1401" t="s">
        <v>1698</v>
      </c>
      <c r="C162" s="1536">
        <v>104.535408</v>
      </c>
      <c r="D162" s="1537">
        <v>0</v>
      </c>
      <c r="E162" s="1537">
        <v>0</v>
      </c>
      <c r="F162" s="1538">
        <v>0</v>
      </c>
      <c r="G162" s="1538">
        <v>0</v>
      </c>
      <c r="H162" s="1539">
        <v>104.535408</v>
      </c>
    </row>
    <row r="163" spans="1:8">
      <c r="A163" s="1419" t="s">
        <v>1106</v>
      </c>
      <c r="B163" s="1401" t="s">
        <v>1699</v>
      </c>
      <c r="C163" s="1536">
        <v>179.636471</v>
      </c>
      <c r="D163" s="1537">
        <v>0</v>
      </c>
      <c r="E163" s="1537">
        <v>0</v>
      </c>
      <c r="F163" s="1538">
        <v>0</v>
      </c>
      <c r="G163" s="1538">
        <v>0</v>
      </c>
      <c r="H163" s="1539">
        <v>179.636471</v>
      </c>
    </row>
    <row r="164" spans="1:8">
      <c r="A164" s="1419" t="s">
        <v>1106</v>
      </c>
      <c r="B164" s="1401" t="s">
        <v>1450</v>
      </c>
      <c r="C164" s="1536">
        <v>236.34758199999999</v>
      </c>
      <c r="D164" s="1537">
        <v>0</v>
      </c>
      <c r="E164" s="1537">
        <v>0</v>
      </c>
      <c r="F164" s="1538">
        <v>0</v>
      </c>
      <c r="G164" s="1538">
        <v>0</v>
      </c>
      <c r="H164" s="1539">
        <v>236.34758199999999</v>
      </c>
    </row>
    <row r="165" spans="1:8">
      <c r="A165" s="1419" t="s">
        <v>1106</v>
      </c>
      <c r="B165" s="1401" t="s">
        <v>1542</v>
      </c>
      <c r="C165" s="1536">
        <v>116.99892199999999</v>
      </c>
      <c r="D165" s="1537">
        <v>0</v>
      </c>
      <c r="E165" s="1537">
        <v>0</v>
      </c>
      <c r="F165" s="1538">
        <v>0</v>
      </c>
      <c r="G165" s="1538">
        <v>0</v>
      </c>
      <c r="H165" s="1539">
        <v>116.99892199999999</v>
      </c>
    </row>
    <row r="166" spans="1:8">
      <c r="A166" s="1419" t="s">
        <v>1106</v>
      </c>
      <c r="B166" s="1401" t="s">
        <v>1700</v>
      </c>
      <c r="C166" s="1536">
        <v>11.389741000000001</v>
      </c>
      <c r="D166" s="1537">
        <v>0</v>
      </c>
      <c r="E166" s="1537">
        <v>0</v>
      </c>
      <c r="F166" s="1538">
        <v>0</v>
      </c>
      <c r="G166" s="1538">
        <v>0</v>
      </c>
      <c r="H166" s="1539">
        <v>11.389741000000001</v>
      </c>
    </row>
    <row r="167" spans="1:8">
      <c r="A167" s="1419" t="s">
        <v>1106</v>
      </c>
      <c r="B167" s="1401" t="s">
        <v>1543</v>
      </c>
      <c r="C167" s="1536">
        <v>44.753278000000002</v>
      </c>
      <c r="D167" s="1537">
        <v>0</v>
      </c>
      <c r="E167" s="1537">
        <v>0</v>
      </c>
      <c r="F167" s="1538">
        <v>0</v>
      </c>
      <c r="G167" s="1538">
        <v>0</v>
      </c>
      <c r="H167" s="1539">
        <v>44.753278000000002</v>
      </c>
    </row>
    <row r="168" spans="1:8">
      <c r="A168" s="1419" t="s">
        <v>1106</v>
      </c>
      <c r="B168" s="1401" t="s">
        <v>1707</v>
      </c>
      <c r="C168" s="1536">
        <v>140.05889999999999</v>
      </c>
      <c r="D168" s="1537">
        <v>0</v>
      </c>
      <c r="E168" s="1537">
        <v>0</v>
      </c>
      <c r="F168" s="1538">
        <v>0</v>
      </c>
      <c r="G168" s="1538">
        <v>0</v>
      </c>
      <c r="H168" s="1539">
        <v>140.05889999999999</v>
      </c>
    </row>
    <row r="169" spans="1:8">
      <c r="A169" s="1419" t="s">
        <v>1106</v>
      </c>
      <c r="B169" s="1401" t="s">
        <v>1708</v>
      </c>
      <c r="C169" s="1536">
        <v>0</v>
      </c>
      <c r="D169" s="1537">
        <v>0</v>
      </c>
      <c r="E169" s="1537">
        <v>0</v>
      </c>
      <c r="F169" s="1538">
        <v>0</v>
      </c>
      <c r="G169" s="1538">
        <v>0</v>
      </c>
      <c r="H169" s="1539">
        <v>0</v>
      </c>
    </row>
    <row r="170" spans="1:8">
      <c r="A170" s="1419" t="s">
        <v>1106</v>
      </c>
      <c r="B170" s="1401" t="s">
        <v>1451</v>
      </c>
      <c r="C170" s="1536">
        <v>256.63546000000002</v>
      </c>
      <c r="D170" s="1537">
        <v>0</v>
      </c>
      <c r="E170" s="1537">
        <v>0</v>
      </c>
      <c r="F170" s="1538">
        <v>0</v>
      </c>
      <c r="G170" s="1538">
        <v>0</v>
      </c>
      <c r="H170" s="1539">
        <v>256.63546000000002</v>
      </c>
    </row>
    <row r="171" spans="1:8">
      <c r="A171" s="1419" t="s">
        <v>1106</v>
      </c>
      <c r="B171" s="1401" t="s">
        <v>1709</v>
      </c>
      <c r="C171" s="1536">
        <v>0</v>
      </c>
      <c r="D171" s="1537">
        <v>0</v>
      </c>
      <c r="E171" s="1537">
        <v>0</v>
      </c>
      <c r="F171" s="1538">
        <v>0</v>
      </c>
      <c r="G171" s="1538">
        <v>0</v>
      </c>
      <c r="H171" s="1539">
        <v>0</v>
      </c>
    </row>
    <row r="172" spans="1:8">
      <c r="A172" s="1419" t="s">
        <v>1106</v>
      </c>
      <c r="B172" s="1401" t="s">
        <v>1546</v>
      </c>
      <c r="C172" s="1536">
        <v>64.834602000000004</v>
      </c>
      <c r="D172" s="1537">
        <v>0</v>
      </c>
      <c r="E172" s="1537">
        <v>0</v>
      </c>
      <c r="F172" s="1538">
        <v>0</v>
      </c>
      <c r="G172" s="1538">
        <v>0</v>
      </c>
      <c r="H172" s="1539">
        <v>64.834602000000004</v>
      </c>
    </row>
    <row r="173" spans="1:8">
      <c r="A173" s="1419" t="s">
        <v>1106</v>
      </c>
      <c r="B173" s="1401" t="s">
        <v>1452</v>
      </c>
      <c r="C173" s="1536">
        <v>126.912717</v>
      </c>
      <c r="D173" s="1537">
        <v>0</v>
      </c>
      <c r="E173" s="1537">
        <v>0</v>
      </c>
      <c r="F173" s="1538">
        <v>0</v>
      </c>
      <c r="G173" s="1538">
        <v>0</v>
      </c>
      <c r="H173" s="1539">
        <v>126.912717</v>
      </c>
    </row>
    <row r="174" spans="1:8">
      <c r="A174" s="1419" t="s">
        <v>1106</v>
      </c>
      <c r="B174" s="1401" t="s">
        <v>1453</v>
      </c>
      <c r="C174" s="1536">
        <v>100.093283</v>
      </c>
      <c r="D174" s="1537">
        <v>0</v>
      </c>
      <c r="E174" s="1537">
        <v>0</v>
      </c>
      <c r="F174" s="1538">
        <v>0</v>
      </c>
      <c r="G174" s="1538">
        <v>0</v>
      </c>
      <c r="H174" s="1539">
        <v>100.093283</v>
      </c>
    </row>
    <row r="175" spans="1:8">
      <c r="A175" s="1419" t="s">
        <v>1106</v>
      </c>
      <c r="B175" s="1401" t="s">
        <v>1547</v>
      </c>
      <c r="C175" s="1536">
        <v>168.561038</v>
      </c>
      <c r="D175" s="1537">
        <v>0</v>
      </c>
      <c r="E175" s="1537">
        <v>0</v>
      </c>
      <c r="F175" s="1538">
        <v>0</v>
      </c>
      <c r="G175" s="1538">
        <v>0</v>
      </c>
      <c r="H175" s="1539">
        <v>168.561038</v>
      </c>
    </row>
    <row r="176" spans="1:8">
      <c r="A176" s="1419" t="s">
        <v>1106</v>
      </c>
      <c r="B176" s="1401" t="s">
        <v>1548</v>
      </c>
      <c r="C176" s="1536">
        <v>65.410964000000007</v>
      </c>
      <c r="D176" s="1537">
        <v>0</v>
      </c>
      <c r="E176" s="1537">
        <v>0</v>
      </c>
      <c r="F176" s="1538">
        <v>0</v>
      </c>
      <c r="G176" s="1538">
        <v>0</v>
      </c>
      <c r="H176" s="1539">
        <v>65.410964000000007</v>
      </c>
    </row>
    <row r="177" spans="1:8">
      <c r="A177" s="1419" t="s">
        <v>1106</v>
      </c>
      <c r="B177" s="1401" t="s">
        <v>1499</v>
      </c>
      <c r="C177" s="1536">
        <v>135.10665800000001</v>
      </c>
      <c r="D177" s="1537">
        <v>0</v>
      </c>
      <c r="E177" s="1537">
        <v>0</v>
      </c>
      <c r="F177" s="1538">
        <v>0</v>
      </c>
      <c r="G177" s="1538">
        <v>0</v>
      </c>
      <c r="H177" s="1539">
        <v>135.10665800000001</v>
      </c>
    </row>
    <row r="178" spans="1:8">
      <c r="A178" s="1419" t="s">
        <v>1106</v>
      </c>
      <c r="B178" s="1401" t="s">
        <v>1500</v>
      </c>
      <c r="C178" s="1536">
        <v>50.423563000000001</v>
      </c>
      <c r="D178" s="1537">
        <v>0</v>
      </c>
      <c r="E178" s="1537">
        <v>0</v>
      </c>
      <c r="F178" s="1538">
        <v>0</v>
      </c>
      <c r="G178" s="1538">
        <v>0</v>
      </c>
      <c r="H178" s="1539">
        <v>50.423563000000001</v>
      </c>
    </row>
    <row r="179" spans="1:8">
      <c r="A179" s="1419" t="s">
        <v>1106</v>
      </c>
      <c r="B179" s="1401" t="s">
        <v>1455</v>
      </c>
      <c r="C179" s="1536">
        <v>0</v>
      </c>
      <c r="D179" s="1537">
        <v>0</v>
      </c>
      <c r="E179" s="1537">
        <v>167.21164200000001</v>
      </c>
      <c r="F179" s="1538">
        <v>0</v>
      </c>
      <c r="G179" s="1538">
        <v>0</v>
      </c>
      <c r="H179" s="1539">
        <v>167.21164200000001</v>
      </c>
    </row>
    <row r="180" spans="1:8">
      <c r="A180" s="1419" t="s">
        <v>1106</v>
      </c>
      <c r="B180" s="1401" t="s">
        <v>1456</v>
      </c>
      <c r="C180" s="1536">
        <v>0</v>
      </c>
      <c r="D180" s="1537">
        <v>0</v>
      </c>
      <c r="E180" s="1537">
        <v>35.128193000000003</v>
      </c>
      <c r="F180" s="1538">
        <v>0</v>
      </c>
      <c r="G180" s="1538">
        <v>0</v>
      </c>
      <c r="H180" s="1539">
        <v>35.128193000000003</v>
      </c>
    </row>
    <row r="181" spans="1:8">
      <c r="A181" s="1419" t="s">
        <v>1106</v>
      </c>
      <c r="B181" s="1401" t="s">
        <v>1502</v>
      </c>
      <c r="C181" s="1536">
        <v>63.850144999999998</v>
      </c>
      <c r="D181" s="1537">
        <v>0</v>
      </c>
      <c r="E181" s="1537">
        <v>0</v>
      </c>
      <c r="F181" s="1538">
        <v>0</v>
      </c>
      <c r="G181" s="1538">
        <v>0</v>
      </c>
      <c r="H181" s="1539">
        <v>63.850144999999998</v>
      </c>
    </row>
    <row r="182" spans="1:8">
      <c r="A182" s="1419" t="s">
        <v>1106</v>
      </c>
      <c r="B182" s="1401" t="s">
        <v>1503</v>
      </c>
      <c r="C182" s="1536">
        <v>101.77400799999999</v>
      </c>
      <c r="D182" s="1537">
        <v>0</v>
      </c>
      <c r="E182" s="1537">
        <v>0</v>
      </c>
      <c r="F182" s="1538">
        <v>0</v>
      </c>
      <c r="G182" s="1538">
        <v>0</v>
      </c>
      <c r="H182" s="1539">
        <v>101.77400799999999</v>
      </c>
    </row>
    <row r="183" spans="1:8">
      <c r="A183" s="1419" t="s">
        <v>1106</v>
      </c>
      <c r="B183" s="1401" t="s">
        <v>1710</v>
      </c>
      <c r="C183" s="1536">
        <v>0</v>
      </c>
      <c r="D183" s="1537">
        <v>0</v>
      </c>
      <c r="E183" s="1537">
        <v>41.335082999999997</v>
      </c>
      <c r="F183" s="1538">
        <v>0</v>
      </c>
      <c r="G183" s="1538">
        <v>0</v>
      </c>
      <c r="H183" s="1539">
        <v>41.335082999999997</v>
      </c>
    </row>
    <row r="184" spans="1:8">
      <c r="A184" s="1419" t="s">
        <v>1106</v>
      </c>
      <c r="B184" s="1401" t="s">
        <v>1510</v>
      </c>
      <c r="C184" s="1536">
        <v>65.000084999999999</v>
      </c>
      <c r="D184" s="1537">
        <v>0</v>
      </c>
      <c r="E184" s="1537">
        <v>0</v>
      </c>
      <c r="F184" s="1538">
        <v>0</v>
      </c>
      <c r="G184" s="1538">
        <v>0</v>
      </c>
      <c r="H184" s="1539">
        <v>65.000084999999999</v>
      </c>
    </row>
    <row r="185" spans="1:8">
      <c r="A185" s="1419" t="s">
        <v>1106</v>
      </c>
      <c r="B185" s="1401" t="s">
        <v>1513</v>
      </c>
      <c r="C185" s="1536">
        <v>148.09188</v>
      </c>
      <c r="D185" s="1537">
        <v>0</v>
      </c>
      <c r="E185" s="1537">
        <v>0</v>
      </c>
      <c r="F185" s="1538">
        <v>0</v>
      </c>
      <c r="G185" s="1538">
        <v>0</v>
      </c>
      <c r="H185" s="1539">
        <v>148.09188</v>
      </c>
    </row>
    <row r="186" spans="1:8">
      <c r="A186" s="1419" t="s">
        <v>1106</v>
      </c>
      <c r="B186" s="1401" t="s">
        <v>1471</v>
      </c>
      <c r="C186" s="1536">
        <v>0</v>
      </c>
      <c r="D186" s="1537">
        <v>0</v>
      </c>
      <c r="E186" s="1537">
        <v>172.25501800000001</v>
      </c>
      <c r="F186" s="1538">
        <v>0</v>
      </c>
      <c r="G186" s="1538">
        <v>0</v>
      </c>
      <c r="H186" s="1539">
        <v>172.25501800000001</v>
      </c>
    </row>
    <row r="187" spans="1:8">
      <c r="A187" s="1419" t="s">
        <v>1106</v>
      </c>
      <c r="B187" s="1401" t="s">
        <v>1426</v>
      </c>
      <c r="C187" s="1536">
        <v>0</v>
      </c>
      <c r="D187" s="1537">
        <v>0</v>
      </c>
      <c r="E187" s="1537">
        <v>209.129976</v>
      </c>
      <c r="F187" s="1538">
        <v>0</v>
      </c>
      <c r="G187" s="1538">
        <v>0</v>
      </c>
      <c r="H187" s="1539">
        <v>209.129976</v>
      </c>
    </row>
    <row r="188" spans="1:8">
      <c r="A188" s="1419" t="s">
        <v>1106</v>
      </c>
      <c r="B188" s="1401" t="s">
        <v>2271</v>
      </c>
      <c r="C188" s="1536">
        <v>0</v>
      </c>
      <c r="D188" s="1537">
        <v>0</v>
      </c>
      <c r="E188" s="1537">
        <v>62.802622</v>
      </c>
      <c r="F188" s="1538">
        <v>0</v>
      </c>
      <c r="G188" s="1538">
        <v>0</v>
      </c>
      <c r="H188" s="1539">
        <v>62.802622</v>
      </c>
    </row>
    <row r="189" spans="1:8">
      <c r="A189" s="1419" t="s">
        <v>1106</v>
      </c>
      <c r="B189" s="1401" t="s">
        <v>1472</v>
      </c>
      <c r="C189" s="1536">
        <v>0</v>
      </c>
      <c r="D189" s="1537">
        <v>0</v>
      </c>
      <c r="E189" s="1537">
        <v>151.16595100000001</v>
      </c>
      <c r="F189" s="1538">
        <v>0</v>
      </c>
      <c r="G189" s="1538">
        <v>0</v>
      </c>
      <c r="H189" s="1539">
        <v>151.16595100000001</v>
      </c>
    </row>
    <row r="190" spans="1:8">
      <c r="A190" s="1419" t="s">
        <v>1106</v>
      </c>
      <c r="B190" s="1401" t="s">
        <v>1442</v>
      </c>
      <c r="C190" s="1536">
        <v>155.55795800000001</v>
      </c>
      <c r="D190" s="1537">
        <v>0</v>
      </c>
      <c r="E190" s="1537">
        <v>0</v>
      </c>
      <c r="F190" s="1538">
        <v>0</v>
      </c>
      <c r="G190" s="1538">
        <v>0</v>
      </c>
      <c r="H190" s="1539">
        <v>155.55795800000001</v>
      </c>
    </row>
    <row r="191" spans="1:8">
      <c r="A191" s="1419" t="s">
        <v>1106</v>
      </c>
      <c r="B191" s="1401" t="s">
        <v>1518</v>
      </c>
      <c r="C191" s="1536">
        <v>126.04026</v>
      </c>
      <c r="D191" s="1537">
        <v>0</v>
      </c>
      <c r="E191" s="1537">
        <v>0</v>
      </c>
      <c r="F191" s="1538">
        <v>0</v>
      </c>
      <c r="G191" s="1538">
        <v>0</v>
      </c>
      <c r="H191" s="1539">
        <v>126.04026</v>
      </c>
    </row>
    <row r="192" spans="1:8">
      <c r="A192" s="1419" t="s">
        <v>1106</v>
      </c>
      <c r="B192" s="1401" t="s">
        <v>1429</v>
      </c>
      <c r="C192" s="1536">
        <v>0</v>
      </c>
      <c r="D192" s="1537">
        <v>0</v>
      </c>
      <c r="E192" s="1537">
        <v>198.92690300000001</v>
      </c>
      <c r="F192" s="1538">
        <v>0</v>
      </c>
      <c r="G192" s="1538">
        <v>0</v>
      </c>
      <c r="H192" s="1539">
        <v>198.92690300000001</v>
      </c>
    </row>
    <row r="193" spans="1:8">
      <c r="A193" s="1419" t="s">
        <v>1106</v>
      </c>
      <c r="B193" s="1401" t="s">
        <v>1481</v>
      </c>
      <c r="C193" s="1536">
        <v>0</v>
      </c>
      <c r="D193" s="1537">
        <v>0</v>
      </c>
      <c r="E193" s="1537">
        <v>119.225993</v>
      </c>
      <c r="F193" s="1538">
        <v>0</v>
      </c>
      <c r="G193" s="1538">
        <v>0</v>
      </c>
      <c r="H193" s="1539">
        <v>119.225993</v>
      </c>
    </row>
    <row r="194" spans="1:8">
      <c r="A194" s="1419" t="s">
        <v>1106</v>
      </c>
      <c r="B194" s="1401" t="s">
        <v>1531</v>
      </c>
      <c r="C194" s="1536">
        <v>266.25894</v>
      </c>
      <c r="D194" s="1537">
        <v>0</v>
      </c>
      <c r="E194" s="1537">
        <v>0</v>
      </c>
      <c r="F194" s="1538">
        <v>0</v>
      </c>
      <c r="G194" s="1538">
        <v>0</v>
      </c>
      <c r="H194" s="1539">
        <v>266.25894</v>
      </c>
    </row>
    <row r="195" spans="1:8">
      <c r="A195" s="1419" t="s">
        <v>1106</v>
      </c>
      <c r="B195" s="1401" t="s">
        <v>1484</v>
      </c>
      <c r="C195" s="1536">
        <v>0</v>
      </c>
      <c r="D195" s="1537">
        <v>0</v>
      </c>
      <c r="E195" s="1537">
        <v>218.32338100000001</v>
      </c>
      <c r="F195" s="1538">
        <v>0</v>
      </c>
      <c r="G195" s="1538">
        <v>0</v>
      </c>
      <c r="H195" s="1539">
        <v>218.32338100000001</v>
      </c>
    </row>
    <row r="196" spans="1:8">
      <c r="A196" s="1419" t="s">
        <v>1106</v>
      </c>
      <c r="B196" s="1401" t="s">
        <v>1487</v>
      </c>
      <c r="C196" s="1536">
        <v>0</v>
      </c>
      <c r="D196" s="1537">
        <v>0</v>
      </c>
      <c r="E196" s="1537">
        <v>154.54257100000001</v>
      </c>
      <c r="F196" s="1538">
        <v>0</v>
      </c>
      <c r="G196" s="1538">
        <v>0</v>
      </c>
      <c r="H196" s="1539">
        <v>154.54257100000001</v>
      </c>
    </row>
    <row r="197" spans="1:8">
      <c r="A197" s="1419" t="s">
        <v>1106</v>
      </c>
      <c r="B197" s="1401" t="s">
        <v>1488</v>
      </c>
      <c r="C197" s="1536">
        <v>0</v>
      </c>
      <c r="D197" s="1537">
        <v>0</v>
      </c>
      <c r="E197" s="1537">
        <v>56.978237999999997</v>
      </c>
      <c r="F197" s="1538">
        <v>0</v>
      </c>
      <c r="G197" s="1538">
        <v>0</v>
      </c>
      <c r="H197" s="1539">
        <v>56.978237999999997</v>
      </c>
    </row>
    <row r="198" spans="1:8">
      <c r="A198" s="1419" t="s">
        <v>1106</v>
      </c>
      <c r="B198" s="1401" t="s">
        <v>1711</v>
      </c>
      <c r="C198" s="1536">
        <v>51.119580999999997</v>
      </c>
      <c r="D198" s="1537">
        <v>0</v>
      </c>
      <c r="E198" s="1537">
        <v>0</v>
      </c>
      <c r="F198" s="1538">
        <v>0</v>
      </c>
      <c r="G198" s="1538">
        <v>0</v>
      </c>
      <c r="H198" s="1539">
        <v>51.119580999999997</v>
      </c>
    </row>
    <row r="199" spans="1:8">
      <c r="A199" s="1419" t="s">
        <v>1106</v>
      </c>
      <c r="B199" s="1401" t="s">
        <v>1712</v>
      </c>
      <c r="C199" s="1536">
        <v>0</v>
      </c>
      <c r="D199" s="1537">
        <v>0</v>
      </c>
      <c r="E199" s="1537">
        <v>38.5565</v>
      </c>
      <c r="F199" s="1538">
        <v>0</v>
      </c>
      <c r="G199" s="1538">
        <v>0</v>
      </c>
      <c r="H199" s="1539">
        <v>38.5565</v>
      </c>
    </row>
    <row r="200" spans="1:8">
      <c r="A200" s="1419" t="s">
        <v>1106</v>
      </c>
      <c r="B200" s="1401" t="s">
        <v>1713</v>
      </c>
      <c r="C200" s="1536">
        <v>0</v>
      </c>
      <c r="D200" s="1537">
        <v>0</v>
      </c>
      <c r="E200" s="1537">
        <v>51.422260000000001</v>
      </c>
      <c r="F200" s="1538">
        <v>0</v>
      </c>
      <c r="G200" s="1538">
        <v>0</v>
      </c>
      <c r="H200" s="1539">
        <v>51.422260000000001</v>
      </c>
    </row>
    <row r="201" spans="1:8">
      <c r="A201" s="1419" t="s">
        <v>1106</v>
      </c>
      <c r="B201" s="1401" t="s">
        <v>1545</v>
      </c>
      <c r="C201" s="1536">
        <v>57.929025000000003</v>
      </c>
      <c r="D201" s="1537">
        <v>0</v>
      </c>
      <c r="E201" s="1537">
        <v>0</v>
      </c>
      <c r="F201" s="1538">
        <v>0</v>
      </c>
      <c r="G201" s="1538">
        <v>0</v>
      </c>
      <c r="H201" s="1539">
        <v>57.929025000000003</v>
      </c>
    </row>
    <row r="202" spans="1:8">
      <c r="A202" s="1419" t="s">
        <v>1106</v>
      </c>
      <c r="B202" s="1401" t="s">
        <v>1501</v>
      </c>
      <c r="C202" s="1536">
        <v>33.647384000000002</v>
      </c>
      <c r="D202" s="1537">
        <v>0</v>
      </c>
      <c r="E202" s="1537">
        <v>0</v>
      </c>
      <c r="F202" s="1538">
        <v>0</v>
      </c>
      <c r="G202" s="1538">
        <v>0</v>
      </c>
      <c r="H202" s="1539">
        <v>33.647384000000002</v>
      </c>
    </row>
    <row r="203" spans="1:8">
      <c r="A203" s="1419" t="s">
        <v>1106</v>
      </c>
      <c r="B203" s="1401" t="s">
        <v>1443</v>
      </c>
      <c r="C203" s="1536">
        <v>129.13162399999999</v>
      </c>
      <c r="D203" s="1537">
        <v>0</v>
      </c>
      <c r="E203" s="1537">
        <v>0</v>
      </c>
      <c r="F203" s="1538">
        <v>0</v>
      </c>
      <c r="G203" s="1538">
        <v>0</v>
      </c>
      <c r="H203" s="1539">
        <v>129.13162399999999</v>
      </c>
    </row>
    <row r="204" spans="1:8">
      <c r="A204" s="1419" t="s">
        <v>1106</v>
      </c>
      <c r="B204" s="1401" t="s">
        <v>1523</v>
      </c>
      <c r="C204" s="1536">
        <v>93.558902000000003</v>
      </c>
      <c r="D204" s="1537">
        <v>0</v>
      </c>
      <c r="E204" s="1537">
        <v>0</v>
      </c>
      <c r="F204" s="1538">
        <v>0</v>
      </c>
      <c r="G204" s="1538">
        <v>0</v>
      </c>
      <c r="H204" s="1539">
        <v>93.558902000000003</v>
      </c>
    </row>
    <row r="205" spans="1:8">
      <c r="A205" s="1419" t="s">
        <v>1106</v>
      </c>
      <c r="B205" s="1401" t="s">
        <v>1540</v>
      </c>
      <c r="C205" s="1536">
        <v>36.959386000000002</v>
      </c>
      <c r="D205" s="1537">
        <v>0</v>
      </c>
      <c r="E205" s="1537">
        <v>0</v>
      </c>
      <c r="F205" s="1538">
        <v>0</v>
      </c>
      <c r="G205" s="1538">
        <v>0</v>
      </c>
      <c r="H205" s="1539">
        <v>36.959386000000002</v>
      </c>
    </row>
    <row r="206" spans="1:8">
      <c r="A206" s="1419" t="s">
        <v>1106</v>
      </c>
      <c r="B206" s="1401" t="s">
        <v>1714</v>
      </c>
      <c r="C206" s="1536">
        <v>88.862492000000003</v>
      </c>
      <c r="D206" s="1537">
        <v>0</v>
      </c>
      <c r="E206" s="1537">
        <v>0</v>
      </c>
      <c r="F206" s="1538">
        <v>0</v>
      </c>
      <c r="G206" s="1538">
        <v>0</v>
      </c>
      <c r="H206" s="1539">
        <v>88.862492000000003</v>
      </c>
    </row>
    <row r="207" spans="1:8">
      <c r="A207" s="1419" t="s">
        <v>1106</v>
      </c>
      <c r="B207" s="1401" t="s">
        <v>1544</v>
      </c>
      <c r="C207" s="1536">
        <v>215.63995499999999</v>
      </c>
      <c r="D207" s="1537">
        <v>0</v>
      </c>
      <c r="E207" s="1537">
        <v>0</v>
      </c>
      <c r="F207" s="1538">
        <v>0</v>
      </c>
      <c r="G207" s="1538">
        <v>0</v>
      </c>
      <c r="H207" s="1539">
        <v>215.63995499999999</v>
      </c>
    </row>
    <row r="208" spans="1:8" ht="15.75" thickBot="1">
      <c r="A208" s="1419" t="s">
        <v>1106</v>
      </c>
      <c r="B208" s="1401" t="s">
        <v>1718</v>
      </c>
      <c r="C208" s="1536">
        <v>45.850599000000003</v>
      </c>
      <c r="D208" s="1537">
        <v>0</v>
      </c>
      <c r="E208" s="1537">
        <v>0</v>
      </c>
      <c r="F208" s="1538">
        <v>0</v>
      </c>
      <c r="G208" s="1538">
        <v>0</v>
      </c>
      <c r="H208" s="1539">
        <v>45.850599000000003</v>
      </c>
    </row>
    <row r="209" spans="1:8" ht="36" customHeight="1" thickBot="1">
      <c r="A209" s="1421" t="s">
        <v>1549</v>
      </c>
      <c r="B209" s="1422" t="s">
        <v>1550</v>
      </c>
      <c r="C209" s="1423">
        <v>8982.8699450000004</v>
      </c>
      <c r="D209" s="1422">
        <v>47.484416000000003</v>
      </c>
      <c r="E209" s="1422">
        <v>10178.118587999999</v>
      </c>
      <c r="F209" s="1424">
        <v>25.462313999999999</v>
      </c>
      <c r="G209" s="1540">
        <v>469.96473500000002</v>
      </c>
      <c r="H209" s="1541">
        <v>19703.899998000001</v>
      </c>
    </row>
    <row r="210" spans="1:8" ht="15.75" thickBot="1">
      <c r="A210" s="2361" t="s">
        <v>1715</v>
      </c>
      <c r="B210" s="2362"/>
      <c r="C210" s="2362"/>
      <c r="D210" s="2362"/>
      <c r="E210" s="2362"/>
      <c r="F210" s="2362"/>
      <c r="G210" s="2363"/>
      <c r="H210" s="1541">
        <v>1.3455060000000001</v>
      </c>
    </row>
    <row r="211" spans="1:8" ht="15.75" thickBot="1">
      <c r="A211" s="1423" t="s">
        <v>1025</v>
      </c>
      <c r="B211" s="1412"/>
      <c r="C211" s="1412"/>
      <c r="D211" s="1412"/>
      <c r="E211" s="1412"/>
      <c r="F211" s="1412"/>
      <c r="G211" s="1412"/>
      <c r="H211" s="1541">
        <v>19705.245503999999</v>
      </c>
    </row>
    <row r="212" spans="1:8" ht="73.5" customHeight="1" thickBot="1">
      <c r="A212" s="2364" t="s">
        <v>2293</v>
      </c>
      <c r="B212" s="2365"/>
      <c r="C212" s="2365"/>
      <c r="D212" s="2365"/>
      <c r="E212" s="2365"/>
      <c r="F212" s="2365"/>
      <c r="G212" s="2365"/>
      <c r="H212" s="2366"/>
    </row>
  </sheetData>
  <mergeCells count="13">
    <mergeCell ref="E6:F6"/>
    <mergeCell ref="A210:G210"/>
    <mergeCell ref="A212:H212"/>
    <mergeCell ref="A1:H1"/>
    <mergeCell ref="A2:H2"/>
    <mergeCell ref="A3:H3"/>
    <mergeCell ref="A4:H4"/>
    <mergeCell ref="A5:A7"/>
    <mergeCell ref="B5:B7"/>
    <mergeCell ref="C5:F5"/>
    <mergeCell ref="G5:G7"/>
    <mergeCell ref="H5:H7"/>
    <mergeCell ref="C6:D6"/>
  </mergeCells>
  <conditionalFormatting sqref="I1:I1048576">
    <cfRule type="duplicateValues" dxfId="4" priority="1"/>
  </conditionalFormatting>
  <pageMargins left="0.7" right="0.7" top="0.75" bottom="0.75" header="0.3" footer="0.3"/>
  <pageSetup scale="67"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11"/>
  <sheetViews>
    <sheetView view="pageBreakPreview" zoomScale="60" zoomScaleNormal="80" workbookViewId="0">
      <selection activeCell="I12" sqref="I12"/>
    </sheetView>
  </sheetViews>
  <sheetFormatPr defaultRowHeight="15"/>
  <cols>
    <col min="1" max="1" width="22" style="1401" customWidth="1"/>
    <col min="2" max="2" width="31.28515625" style="1401" customWidth="1"/>
    <col min="3" max="3" width="12.5703125" style="1401" customWidth="1"/>
    <col min="4" max="4" width="10" style="1401" customWidth="1"/>
    <col min="5" max="5" width="12.5703125" style="1401" customWidth="1"/>
    <col min="6" max="6" width="9" style="1401" customWidth="1"/>
    <col min="7" max="7" width="20.5703125" style="1401" customWidth="1"/>
    <col min="8" max="8" width="20.42578125" style="1401" customWidth="1"/>
    <col min="9" max="9" width="28" style="1401" customWidth="1"/>
    <col min="10" max="16384" width="9.140625" style="1401"/>
  </cols>
  <sheetData>
    <row r="1" spans="1:8" ht="27" customHeight="1" thickBot="1">
      <c r="A1" s="2348" t="s">
        <v>1719</v>
      </c>
      <c r="B1" s="2349"/>
      <c r="C1" s="2349"/>
      <c r="D1" s="2349"/>
      <c r="E1" s="2349"/>
      <c r="F1" s="2349"/>
      <c r="G1" s="2349"/>
      <c r="H1" s="2350"/>
    </row>
    <row r="2" spans="1:8" ht="15.75" customHeight="1" thickBot="1">
      <c r="A2" s="2351" t="s">
        <v>1696</v>
      </c>
      <c r="B2" s="2352"/>
      <c r="C2" s="2352"/>
      <c r="D2" s="2352"/>
      <c r="E2" s="2352"/>
      <c r="F2" s="2352"/>
      <c r="G2" s="2352"/>
      <c r="H2" s="2353"/>
    </row>
    <row r="3" spans="1:8" ht="15" customHeight="1">
      <c r="A3" s="2354" t="s">
        <v>1098</v>
      </c>
      <c r="B3" s="2355"/>
      <c r="C3" s="2355"/>
      <c r="D3" s="2355"/>
      <c r="E3" s="2355"/>
      <c r="F3" s="2355"/>
      <c r="G3" s="2355"/>
      <c r="H3" s="2356"/>
    </row>
    <row r="4" spans="1:8" ht="15.75" customHeight="1" thickBot="1">
      <c r="A4" s="2367" t="s">
        <v>1099</v>
      </c>
      <c r="B4" s="2368"/>
      <c r="C4" s="2368"/>
      <c r="D4" s="2368"/>
      <c r="E4" s="2368"/>
      <c r="F4" s="2368"/>
      <c r="G4" s="2368"/>
      <c r="H4" s="2369"/>
    </row>
    <row r="5" spans="1:8" ht="15.75" customHeight="1" thickBot="1">
      <c r="A5" s="2370" t="s">
        <v>456</v>
      </c>
      <c r="B5" s="2372" t="s">
        <v>434</v>
      </c>
      <c r="C5" s="2374" t="s">
        <v>435</v>
      </c>
      <c r="D5" s="2375"/>
      <c r="E5" s="2375"/>
      <c r="F5" s="2376"/>
      <c r="G5" s="2370" t="s">
        <v>1697</v>
      </c>
      <c r="H5" s="2370" t="s">
        <v>1100</v>
      </c>
    </row>
    <row r="6" spans="1:8" ht="15.75" customHeight="1" thickBot="1">
      <c r="A6" s="2371"/>
      <c r="B6" s="2373"/>
      <c r="C6" s="2348" t="s">
        <v>1101</v>
      </c>
      <c r="D6" s="2349"/>
      <c r="E6" s="2348" t="s">
        <v>1102</v>
      </c>
      <c r="F6" s="2350"/>
      <c r="G6" s="2371"/>
      <c r="H6" s="2371"/>
    </row>
    <row r="7" spans="1:8" ht="30.75" thickBot="1">
      <c r="A7" s="2371"/>
      <c r="B7" s="2373"/>
      <c r="C7" s="1402" t="s">
        <v>1103</v>
      </c>
      <c r="D7" s="1402" t="s">
        <v>1104</v>
      </c>
      <c r="E7" s="1402" t="s">
        <v>1105</v>
      </c>
      <c r="F7" s="1403" t="s">
        <v>1104</v>
      </c>
      <c r="G7" s="2377"/>
      <c r="H7" s="2371"/>
    </row>
    <row r="8" spans="1:8" ht="15.75" thickBot="1">
      <c r="A8" s="1404" t="s">
        <v>363</v>
      </c>
      <c r="B8" s="1405" t="s">
        <v>972</v>
      </c>
      <c r="C8" s="1406" t="s">
        <v>972</v>
      </c>
      <c r="D8" s="1407" t="s">
        <v>972</v>
      </c>
      <c r="E8" s="1407" t="s">
        <v>972</v>
      </c>
      <c r="F8" s="1408" t="s">
        <v>972</v>
      </c>
      <c r="G8" s="1409"/>
      <c r="H8" s="1410" t="s">
        <v>972</v>
      </c>
    </row>
    <row r="9" spans="1:8" ht="15.75" thickBot="1">
      <c r="A9" s="1411"/>
      <c r="B9" s="1412"/>
      <c r="C9" s="1425"/>
      <c r="D9" s="1426"/>
      <c r="E9" s="1426"/>
      <c r="F9" s="1427"/>
      <c r="G9" s="1416"/>
      <c r="H9" s="1417"/>
    </row>
    <row r="10" spans="1:8">
      <c r="A10" s="1418" t="s">
        <v>965</v>
      </c>
      <c r="B10" s="1401" t="s">
        <v>1421</v>
      </c>
      <c r="C10" s="1542">
        <f>P2B!C10*2</f>
        <v>0</v>
      </c>
      <c r="D10" s="1543">
        <f>P2B!D10*2</f>
        <v>0</v>
      </c>
      <c r="E10" s="1543">
        <f>P2B!E10*2</f>
        <v>0</v>
      </c>
      <c r="F10" s="1544">
        <f>P2B!F10*2</f>
        <v>0</v>
      </c>
      <c r="G10" s="1545">
        <f>P2B!G10*2</f>
        <v>35.435899999999997</v>
      </c>
      <c r="H10" s="1546">
        <f>P2B!H10*2</f>
        <v>35.435899999999997</v>
      </c>
    </row>
    <row r="11" spans="1:8">
      <c r="A11" s="1419" t="s">
        <v>965</v>
      </c>
      <c r="B11" s="1401" t="s">
        <v>1420</v>
      </c>
      <c r="C11" s="1547">
        <f>P2B!C11*2</f>
        <v>0</v>
      </c>
      <c r="D11" s="1534">
        <f>P2B!D11*2</f>
        <v>0</v>
      </c>
      <c r="E11" s="1534">
        <f>P2B!E11*2</f>
        <v>92.652535999999998</v>
      </c>
      <c r="F11" s="1548">
        <f>P2B!F11*2</f>
        <v>0</v>
      </c>
      <c r="G11" s="1538">
        <f>P2B!G11*2</f>
        <v>0</v>
      </c>
      <c r="H11" s="1539">
        <f>P2B!H11*2</f>
        <v>92.652535999999998</v>
      </c>
    </row>
    <row r="12" spans="1:8">
      <c r="A12" s="1419" t="s">
        <v>965</v>
      </c>
      <c r="B12" s="1401" t="s">
        <v>1422</v>
      </c>
      <c r="C12" s="1547">
        <f>P2B!C12*2</f>
        <v>0</v>
      </c>
      <c r="D12" s="1534">
        <f>P2B!D12*2</f>
        <v>0</v>
      </c>
      <c r="E12" s="1534">
        <f>P2B!E12*2</f>
        <v>36.927619999999997</v>
      </c>
      <c r="F12" s="1548">
        <f>P2B!F12*2</f>
        <v>0</v>
      </c>
      <c r="G12" s="1538">
        <f>P2B!G12*2</f>
        <v>0</v>
      </c>
      <c r="H12" s="1539">
        <f>P2B!H12*2</f>
        <v>36.927619999999997</v>
      </c>
    </row>
    <row r="13" spans="1:8">
      <c r="A13" s="1419" t="s">
        <v>965</v>
      </c>
      <c r="B13" s="1401" t="s">
        <v>1423</v>
      </c>
      <c r="C13" s="1547">
        <f>P2B!C13*2</f>
        <v>0</v>
      </c>
      <c r="D13" s="1534">
        <f>P2B!D13*2</f>
        <v>0</v>
      </c>
      <c r="E13" s="1534">
        <f>P2B!E13*2</f>
        <v>0</v>
      </c>
      <c r="F13" s="1548">
        <f>P2B!F13*2</f>
        <v>0</v>
      </c>
      <c r="G13" s="1538">
        <f>P2B!G13*2</f>
        <v>57.428781999999998</v>
      </c>
      <c r="H13" s="1539">
        <f>P2B!H13*2</f>
        <v>57.428781999999998</v>
      </c>
    </row>
    <row r="14" spans="1:8">
      <c r="A14" s="1419" t="s">
        <v>965</v>
      </c>
      <c r="B14" s="1401" t="s">
        <v>1424</v>
      </c>
      <c r="C14" s="1547">
        <f>P2B!C14*2</f>
        <v>0</v>
      </c>
      <c r="D14" s="1534">
        <f>P2B!D14*2</f>
        <v>0</v>
      </c>
      <c r="E14" s="1534">
        <f>P2B!E14*2</f>
        <v>0</v>
      </c>
      <c r="F14" s="1548">
        <f>P2B!F14*2</f>
        <v>0</v>
      </c>
      <c r="G14" s="1538">
        <f>P2B!G14*2</f>
        <v>39.731099999999998</v>
      </c>
      <c r="H14" s="1539">
        <f>P2B!H14*2</f>
        <v>39.731099999999998</v>
      </c>
    </row>
    <row r="15" spans="1:8">
      <c r="A15" s="1419" t="s">
        <v>965</v>
      </c>
      <c r="B15" s="1401" t="s">
        <v>1425</v>
      </c>
      <c r="C15" s="1547">
        <f>P2B!C15*2</f>
        <v>0</v>
      </c>
      <c r="D15" s="1534">
        <f>P2B!D15*2</f>
        <v>0</v>
      </c>
      <c r="E15" s="1534">
        <f>P2B!E15*2</f>
        <v>0</v>
      </c>
      <c r="F15" s="1548">
        <f>P2B!F15*2</f>
        <v>0</v>
      </c>
      <c r="G15" s="1538">
        <f>P2B!G15*2</f>
        <v>36.245080000000002</v>
      </c>
      <c r="H15" s="1539">
        <f>P2B!H15*2</f>
        <v>36.245080000000002</v>
      </c>
    </row>
    <row r="16" spans="1:8">
      <c r="A16" s="1419" t="s">
        <v>965</v>
      </c>
      <c r="B16" s="1401" t="s">
        <v>1427</v>
      </c>
      <c r="C16" s="1547">
        <f>P2B!C16*2</f>
        <v>0</v>
      </c>
      <c r="D16" s="1534">
        <f>P2B!D16*2</f>
        <v>0</v>
      </c>
      <c r="E16" s="1534">
        <f>P2B!E16*2</f>
        <v>0</v>
      </c>
      <c r="F16" s="1548">
        <f>P2B!F16*2</f>
        <v>0</v>
      </c>
      <c r="G16" s="1538">
        <f>P2B!G16*2</f>
        <v>15.318300000000001</v>
      </c>
      <c r="H16" s="1539">
        <f>P2B!H16*2</f>
        <v>15.318300000000001</v>
      </c>
    </row>
    <row r="17" spans="1:8">
      <c r="A17" s="1419" t="s">
        <v>965</v>
      </c>
      <c r="B17" s="1401" t="s">
        <v>1428</v>
      </c>
      <c r="C17" s="1547">
        <f>P2B!C17*2</f>
        <v>0</v>
      </c>
      <c r="D17" s="1534">
        <f>P2B!D17*2</f>
        <v>0</v>
      </c>
      <c r="E17" s="1534">
        <f>P2B!E17*2</f>
        <v>0</v>
      </c>
      <c r="F17" s="1548">
        <f>P2B!F17*2</f>
        <v>0</v>
      </c>
      <c r="G17" s="1538">
        <f>P2B!G17*2</f>
        <v>29.22504</v>
      </c>
      <c r="H17" s="1539">
        <f>P2B!H17*2</f>
        <v>29.22504</v>
      </c>
    </row>
    <row r="18" spans="1:8">
      <c r="A18" s="1419" t="s">
        <v>965</v>
      </c>
      <c r="B18" s="1401" t="s">
        <v>1476</v>
      </c>
      <c r="C18" s="1547">
        <f>P2B!C18*2</f>
        <v>0</v>
      </c>
      <c r="D18" s="1534">
        <f>P2B!D18*2</f>
        <v>0</v>
      </c>
      <c r="E18" s="1534">
        <f>P2B!E18*2</f>
        <v>0</v>
      </c>
      <c r="F18" s="1548">
        <f>P2B!F18*2</f>
        <v>0</v>
      </c>
      <c r="G18" s="1538">
        <f>P2B!G18*2</f>
        <v>93.669314</v>
      </c>
      <c r="H18" s="1539">
        <f>P2B!H18*2</f>
        <v>93.669314</v>
      </c>
    </row>
    <row r="19" spans="1:8">
      <c r="A19" s="1419" t="s">
        <v>965</v>
      </c>
      <c r="B19" s="1401" t="s">
        <v>1480</v>
      </c>
      <c r="C19" s="1547">
        <f>P2B!C19*2</f>
        <v>0</v>
      </c>
      <c r="D19" s="1534">
        <f>P2B!D19*2</f>
        <v>0</v>
      </c>
      <c r="E19" s="1534">
        <f>P2B!E19*2</f>
        <v>0</v>
      </c>
      <c r="F19" s="1548">
        <f>P2B!F19*2</f>
        <v>19.847908</v>
      </c>
      <c r="G19" s="1538">
        <f>P2B!G19*2</f>
        <v>0</v>
      </c>
      <c r="H19" s="1539">
        <f>P2B!H19*2</f>
        <v>19.847908</v>
      </c>
    </row>
    <row r="20" spans="1:8">
      <c r="A20" s="1419" t="s">
        <v>965</v>
      </c>
      <c r="B20" s="1401" t="s">
        <v>1430</v>
      </c>
      <c r="C20" s="1547">
        <f>P2B!C20*2</f>
        <v>0</v>
      </c>
      <c r="D20" s="1534">
        <f>P2B!D20*2</f>
        <v>0</v>
      </c>
      <c r="E20" s="1534">
        <f>P2B!E20*2</f>
        <v>0.27757199999999999</v>
      </c>
      <c r="F20" s="1548">
        <f>P2B!F20*2</f>
        <v>0</v>
      </c>
      <c r="G20" s="1538">
        <f>P2B!G20*2</f>
        <v>73.059517999999997</v>
      </c>
      <c r="H20" s="1539">
        <f>P2B!H20*2</f>
        <v>73.337090000000003</v>
      </c>
    </row>
    <row r="21" spans="1:8">
      <c r="A21" s="1419" t="s">
        <v>965</v>
      </c>
      <c r="B21" s="1401" t="s">
        <v>1431</v>
      </c>
      <c r="C21" s="1547">
        <f>P2B!C21*2</f>
        <v>0</v>
      </c>
      <c r="D21" s="1534">
        <f>P2B!D21*2</f>
        <v>0</v>
      </c>
      <c r="E21" s="1534">
        <f>P2B!E21*2</f>
        <v>2.378736</v>
      </c>
      <c r="F21" s="1548">
        <f>P2B!F21*2</f>
        <v>0</v>
      </c>
      <c r="G21" s="1538">
        <f>P2B!G21*2</f>
        <v>0</v>
      </c>
      <c r="H21" s="1539">
        <f>P2B!H21*2</f>
        <v>2.378736</v>
      </c>
    </row>
    <row r="22" spans="1:8">
      <c r="A22" s="1419" t="s">
        <v>965</v>
      </c>
      <c r="B22" s="1401" t="s">
        <v>1432</v>
      </c>
      <c r="C22" s="1547">
        <f>P2B!C22*2</f>
        <v>0</v>
      </c>
      <c r="D22" s="1534">
        <f>P2B!D22*2</f>
        <v>0</v>
      </c>
      <c r="E22" s="1534">
        <f>P2B!E22*2</f>
        <v>0.25275399999999998</v>
      </c>
      <c r="F22" s="1548">
        <f>P2B!F22*2</f>
        <v>0</v>
      </c>
      <c r="G22" s="1538">
        <f>P2B!G22*2</f>
        <v>0</v>
      </c>
      <c r="H22" s="1539">
        <f>P2B!H22*2</f>
        <v>0.25275399999999998</v>
      </c>
    </row>
    <row r="23" spans="1:8">
      <c r="A23" s="1419" t="s">
        <v>965</v>
      </c>
      <c r="B23" s="1401" t="s">
        <v>1433</v>
      </c>
      <c r="C23" s="1547">
        <f>P2B!C23*2</f>
        <v>0</v>
      </c>
      <c r="D23" s="1534">
        <f>P2B!D23*2</f>
        <v>0</v>
      </c>
      <c r="E23" s="1534">
        <f>P2B!E23*2</f>
        <v>0</v>
      </c>
      <c r="F23" s="1548">
        <f>P2B!F23*2</f>
        <v>0</v>
      </c>
      <c r="G23" s="1538">
        <f>P2B!G23*2</f>
        <v>65.087299999999999</v>
      </c>
      <c r="H23" s="1539">
        <f>P2B!H23*2</f>
        <v>65.087299999999999</v>
      </c>
    </row>
    <row r="24" spans="1:8">
      <c r="A24" s="1419" t="s">
        <v>965</v>
      </c>
      <c r="B24" s="1401" t="s">
        <v>1434</v>
      </c>
      <c r="C24" s="1547">
        <f>P2B!C24*2</f>
        <v>0</v>
      </c>
      <c r="D24" s="1534">
        <f>P2B!D24*2</f>
        <v>0</v>
      </c>
      <c r="E24" s="1534">
        <f>P2B!E24*2</f>
        <v>0</v>
      </c>
      <c r="F24" s="1548">
        <f>P2B!F24*2</f>
        <v>31.076720000000002</v>
      </c>
      <c r="G24" s="1538">
        <f>P2B!G24*2</f>
        <v>0</v>
      </c>
      <c r="H24" s="1539">
        <f>P2B!H24*2</f>
        <v>31.076720000000002</v>
      </c>
    </row>
    <row r="25" spans="1:8">
      <c r="A25" s="1419" t="s">
        <v>965</v>
      </c>
      <c r="B25" s="1401" t="s">
        <v>1435</v>
      </c>
      <c r="C25" s="1547">
        <f>P2B!C25*2</f>
        <v>0</v>
      </c>
      <c r="D25" s="1534">
        <f>P2B!D25*2</f>
        <v>0</v>
      </c>
      <c r="E25" s="1534">
        <f>P2B!E25*2</f>
        <v>51.388675999999997</v>
      </c>
      <c r="F25" s="1548">
        <f>P2B!F25*2</f>
        <v>0</v>
      </c>
      <c r="G25" s="1538">
        <f>P2B!G25*2</f>
        <v>38.165799999999997</v>
      </c>
      <c r="H25" s="1539">
        <f>P2B!H25*2</f>
        <v>89.554475999999994</v>
      </c>
    </row>
    <row r="26" spans="1:8">
      <c r="A26" s="1419" t="s">
        <v>965</v>
      </c>
      <c r="B26" s="1401" t="s">
        <v>1436</v>
      </c>
      <c r="C26" s="1547">
        <f>P2B!C26*2</f>
        <v>0</v>
      </c>
      <c r="D26" s="1534">
        <f>P2B!D26*2</f>
        <v>0</v>
      </c>
      <c r="E26" s="1534">
        <f>P2B!E26*2</f>
        <v>0</v>
      </c>
      <c r="F26" s="1548">
        <f>P2B!F26*2</f>
        <v>0</v>
      </c>
      <c r="G26" s="1538">
        <f>P2B!G26*2</f>
        <v>43.902200000000001</v>
      </c>
      <c r="H26" s="1539">
        <f>P2B!H26*2</f>
        <v>43.902200000000001</v>
      </c>
    </row>
    <row r="27" spans="1:8">
      <c r="A27" s="1419" t="s">
        <v>965</v>
      </c>
      <c r="B27" s="1401" t="s">
        <v>1506</v>
      </c>
      <c r="C27" s="1547">
        <f>P2B!C27*2</f>
        <v>0</v>
      </c>
      <c r="D27" s="1534">
        <f>P2B!D27*2</f>
        <v>13.774088000000001</v>
      </c>
      <c r="E27" s="1534">
        <f>P2B!E27*2</f>
        <v>0</v>
      </c>
      <c r="F27" s="1548">
        <f>P2B!F27*2</f>
        <v>0</v>
      </c>
      <c r="G27" s="1538">
        <f>P2B!G27*2</f>
        <v>0</v>
      </c>
      <c r="H27" s="1539">
        <f>P2B!H27*2</f>
        <v>13.774088000000001</v>
      </c>
    </row>
    <row r="28" spans="1:8">
      <c r="A28" s="1419" t="s">
        <v>965</v>
      </c>
      <c r="B28" s="1401" t="s">
        <v>1438</v>
      </c>
      <c r="C28" s="1547">
        <f>P2B!C28*2</f>
        <v>0</v>
      </c>
      <c r="D28" s="1534">
        <f>P2B!D28*2</f>
        <v>0</v>
      </c>
      <c r="E28" s="1534">
        <f>P2B!E28*2</f>
        <v>0</v>
      </c>
      <c r="F28" s="1548">
        <f>P2B!F28*2</f>
        <v>0</v>
      </c>
      <c r="G28" s="1538">
        <f>P2B!G28*2</f>
        <v>36.796846000000002</v>
      </c>
      <c r="H28" s="1539">
        <f>P2B!H28*2</f>
        <v>36.796846000000002</v>
      </c>
    </row>
    <row r="29" spans="1:8">
      <c r="A29" s="1419" t="s">
        <v>965</v>
      </c>
      <c r="B29" s="1401" t="s">
        <v>1439</v>
      </c>
      <c r="C29" s="1547">
        <f>P2B!C29*2</f>
        <v>0</v>
      </c>
      <c r="D29" s="1534">
        <f>P2B!D29*2</f>
        <v>0</v>
      </c>
      <c r="E29" s="1534">
        <f>P2B!E29*2</f>
        <v>0</v>
      </c>
      <c r="F29" s="1548">
        <f>P2B!F29*2</f>
        <v>0</v>
      </c>
      <c r="G29" s="1538">
        <f>P2B!G29*2</f>
        <v>42.306899999999999</v>
      </c>
      <c r="H29" s="1539">
        <f>P2B!H29*2</f>
        <v>42.306899999999999</v>
      </c>
    </row>
    <row r="30" spans="1:8">
      <c r="A30" s="1419" t="s">
        <v>965</v>
      </c>
      <c r="B30" s="1401" t="s">
        <v>1440</v>
      </c>
      <c r="C30" s="1547">
        <f>P2B!C30*2</f>
        <v>0</v>
      </c>
      <c r="D30" s="1534">
        <f>P2B!D30*2</f>
        <v>0</v>
      </c>
      <c r="E30" s="1534">
        <f>P2B!E30*2</f>
        <v>0</v>
      </c>
      <c r="F30" s="1548">
        <f>P2B!F30*2</f>
        <v>0</v>
      </c>
      <c r="G30" s="1538">
        <f>P2B!G30*2</f>
        <v>37.721699999999998</v>
      </c>
      <c r="H30" s="1539">
        <f>P2B!H30*2</f>
        <v>37.721699999999998</v>
      </c>
    </row>
    <row r="31" spans="1:8">
      <c r="A31" s="1419" t="s">
        <v>965</v>
      </c>
      <c r="B31" s="1401" t="s">
        <v>1441</v>
      </c>
      <c r="C31" s="1547">
        <f>P2B!C31*2</f>
        <v>359.23248599999999</v>
      </c>
      <c r="D31" s="1534">
        <f>P2B!D31*2</f>
        <v>0</v>
      </c>
      <c r="E31" s="1534">
        <f>P2B!E31*2</f>
        <v>0</v>
      </c>
      <c r="F31" s="1548">
        <f>P2B!F31*2</f>
        <v>0</v>
      </c>
      <c r="G31" s="1538">
        <f>P2B!G31*2</f>
        <v>0</v>
      </c>
      <c r="H31" s="1539">
        <f>P2B!H31*2</f>
        <v>359.23248599999999</v>
      </c>
    </row>
    <row r="32" spans="1:8">
      <c r="A32" s="1419" t="s">
        <v>965</v>
      </c>
      <c r="B32" s="1401" t="s">
        <v>1444</v>
      </c>
      <c r="C32" s="1547">
        <f>P2B!C32*2</f>
        <v>0.70563799999999999</v>
      </c>
      <c r="D32" s="1534">
        <f>P2B!D32*2</f>
        <v>12.435816000000001</v>
      </c>
      <c r="E32" s="1534">
        <f>P2B!E32*2</f>
        <v>0</v>
      </c>
      <c r="F32" s="1548">
        <f>P2B!F32*2</f>
        <v>0</v>
      </c>
      <c r="G32" s="1538">
        <f>P2B!G32*2</f>
        <v>0</v>
      </c>
      <c r="H32" s="1539">
        <f>P2B!H32*2</f>
        <v>13.141454</v>
      </c>
    </row>
    <row r="33" spans="1:8">
      <c r="A33" s="1419" t="s">
        <v>965</v>
      </c>
      <c r="B33" s="1401" t="s">
        <v>1525</v>
      </c>
      <c r="C33" s="1547">
        <f>P2B!C33*2</f>
        <v>0.88510200000000006</v>
      </c>
      <c r="D33" s="1534">
        <f>P2B!D33*2</f>
        <v>0</v>
      </c>
      <c r="E33" s="1534">
        <f>P2B!E33*2</f>
        <v>0</v>
      </c>
      <c r="F33" s="1548">
        <f>P2B!F33*2</f>
        <v>0</v>
      </c>
      <c r="G33" s="1538">
        <f>P2B!G33*2</f>
        <v>0</v>
      </c>
      <c r="H33" s="1539">
        <f>P2B!H33*2</f>
        <v>0.88510200000000006</v>
      </c>
    </row>
    <row r="34" spans="1:8">
      <c r="A34" s="1419" t="s">
        <v>965</v>
      </c>
      <c r="B34" s="1401" t="s">
        <v>1528</v>
      </c>
      <c r="C34" s="1547">
        <f>P2B!C34*2</f>
        <v>0</v>
      </c>
      <c r="D34" s="1534">
        <f>P2B!D34*2</f>
        <v>17.334796000000001</v>
      </c>
      <c r="E34" s="1534">
        <f>P2B!E34*2</f>
        <v>0</v>
      </c>
      <c r="F34" s="1548">
        <f>P2B!F34*2</f>
        <v>0</v>
      </c>
      <c r="G34" s="1538">
        <f>P2B!G34*2</f>
        <v>0</v>
      </c>
      <c r="H34" s="1539">
        <f>P2B!H34*2</f>
        <v>17.334796000000001</v>
      </c>
    </row>
    <row r="35" spans="1:8">
      <c r="A35" s="1419" t="s">
        <v>965</v>
      </c>
      <c r="B35" s="1401" t="s">
        <v>1445</v>
      </c>
      <c r="C35" s="1547">
        <f>P2B!C35*2</f>
        <v>210.61735999999999</v>
      </c>
      <c r="D35" s="1534">
        <f>P2B!D35*2</f>
        <v>0</v>
      </c>
      <c r="E35" s="1534">
        <f>P2B!E35*2</f>
        <v>0</v>
      </c>
      <c r="F35" s="1548">
        <f>P2B!F35*2</f>
        <v>0</v>
      </c>
      <c r="G35" s="1538">
        <f>P2B!G35*2</f>
        <v>0</v>
      </c>
      <c r="H35" s="1539">
        <f>P2B!H35*2</f>
        <v>210.61735999999999</v>
      </c>
    </row>
    <row r="36" spans="1:8">
      <c r="A36" s="1419" t="s">
        <v>965</v>
      </c>
      <c r="B36" s="1401" t="s">
        <v>1446</v>
      </c>
      <c r="C36" s="1547">
        <f>P2B!C36*2</f>
        <v>0.927956</v>
      </c>
      <c r="D36" s="1534">
        <f>P2B!D36*2</f>
        <v>0</v>
      </c>
      <c r="E36" s="1534">
        <f>P2B!E36*2</f>
        <v>0</v>
      </c>
      <c r="F36" s="1548">
        <f>P2B!F36*2</f>
        <v>0</v>
      </c>
      <c r="G36" s="1538">
        <f>P2B!G36*2</f>
        <v>0</v>
      </c>
      <c r="H36" s="1539">
        <f>P2B!H36*2</f>
        <v>0.927956</v>
      </c>
    </row>
    <row r="37" spans="1:8">
      <c r="A37" s="1419" t="s">
        <v>965</v>
      </c>
      <c r="B37" s="1401" t="s">
        <v>1532</v>
      </c>
      <c r="C37" s="1547">
        <f>P2B!C37*2</f>
        <v>1.212604</v>
      </c>
      <c r="D37" s="1534">
        <f>P2B!D37*2</f>
        <v>0</v>
      </c>
      <c r="E37" s="1534">
        <f>P2B!E37*2</f>
        <v>0</v>
      </c>
      <c r="F37" s="1548">
        <f>P2B!F37*2</f>
        <v>0</v>
      </c>
      <c r="G37" s="1538">
        <f>P2B!G37*2</f>
        <v>0</v>
      </c>
      <c r="H37" s="1539">
        <f>P2B!H37*2</f>
        <v>1.212604</v>
      </c>
    </row>
    <row r="38" spans="1:8">
      <c r="A38" s="1419" t="s">
        <v>965</v>
      </c>
      <c r="B38" s="1401" t="s">
        <v>1447</v>
      </c>
      <c r="C38" s="1547">
        <f>P2B!C38*2</f>
        <v>0</v>
      </c>
      <c r="D38" s="1534">
        <f>P2B!D38*2</f>
        <v>9.74282</v>
      </c>
      <c r="E38" s="1534">
        <f>P2B!E38*2</f>
        <v>0</v>
      </c>
      <c r="F38" s="1548">
        <f>P2B!F38*2</f>
        <v>0</v>
      </c>
      <c r="G38" s="1538">
        <f>P2B!G38*2</f>
        <v>0</v>
      </c>
      <c r="H38" s="1539">
        <f>P2B!H38*2</f>
        <v>9.74282</v>
      </c>
    </row>
    <row r="39" spans="1:8">
      <c r="A39" s="1419" t="s">
        <v>965</v>
      </c>
      <c r="B39" s="1401" t="s">
        <v>1448</v>
      </c>
      <c r="C39" s="1547">
        <f>P2B!C39*2</f>
        <v>0</v>
      </c>
      <c r="D39" s="1534">
        <f>P2B!D39*2</f>
        <v>0</v>
      </c>
      <c r="E39" s="1534">
        <f>P2B!E39*2</f>
        <v>0</v>
      </c>
      <c r="F39" s="1548">
        <f>P2B!F39*2</f>
        <v>0</v>
      </c>
      <c r="G39" s="1538">
        <f>P2B!G39*2</f>
        <v>26.310348000000001</v>
      </c>
      <c r="H39" s="1539">
        <f>P2B!H39*2</f>
        <v>26.310348000000001</v>
      </c>
    </row>
    <row r="40" spans="1:8">
      <c r="A40" s="1419" t="s">
        <v>965</v>
      </c>
      <c r="B40" s="1401" t="s">
        <v>1449</v>
      </c>
      <c r="C40" s="1547">
        <f>P2B!C40*2</f>
        <v>0</v>
      </c>
      <c r="D40" s="1534">
        <f>P2B!D40*2</f>
        <v>33.902009999999997</v>
      </c>
      <c r="E40" s="1534">
        <f>P2B!E40*2</f>
        <v>0</v>
      </c>
      <c r="F40" s="1548">
        <f>P2B!F40*2</f>
        <v>0</v>
      </c>
      <c r="G40" s="1538">
        <f>P2B!G40*2</f>
        <v>0</v>
      </c>
      <c r="H40" s="1539">
        <f>P2B!H40*2</f>
        <v>33.902009999999997</v>
      </c>
    </row>
    <row r="41" spans="1:8">
      <c r="A41" s="1419" t="s">
        <v>965</v>
      </c>
      <c r="B41" s="1401" t="s">
        <v>1698</v>
      </c>
      <c r="C41" s="1547">
        <f>P2B!C41*2</f>
        <v>2.9205779999999999</v>
      </c>
      <c r="D41" s="1534">
        <f>P2B!D41*2</f>
        <v>0</v>
      </c>
      <c r="E41" s="1534">
        <f>P2B!E41*2</f>
        <v>0</v>
      </c>
      <c r="F41" s="1548">
        <f>P2B!F41*2</f>
        <v>0</v>
      </c>
      <c r="G41" s="1538">
        <f>P2B!G41*2</f>
        <v>0</v>
      </c>
      <c r="H41" s="1539">
        <f>P2B!H41*2</f>
        <v>2.9205779999999999</v>
      </c>
    </row>
    <row r="42" spans="1:8">
      <c r="A42" s="1419" t="s">
        <v>965</v>
      </c>
      <c r="B42" s="1401" t="s">
        <v>1699</v>
      </c>
      <c r="C42" s="1547">
        <f>P2B!C42*2</f>
        <v>7.3073379999999997</v>
      </c>
      <c r="D42" s="1534">
        <f>P2B!D42*2</f>
        <v>7.7793020000000004</v>
      </c>
      <c r="E42" s="1534">
        <f>P2B!E42*2</f>
        <v>0</v>
      </c>
      <c r="F42" s="1548">
        <f>P2B!F42*2</f>
        <v>0</v>
      </c>
      <c r="G42" s="1538">
        <f>P2B!G42*2</f>
        <v>0</v>
      </c>
      <c r="H42" s="1539">
        <f>P2B!H42*2</f>
        <v>15.086639999999999</v>
      </c>
    </row>
    <row r="43" spans="1:8">
      <c r="A43" s="1419" t="s">
        <v>965</v>
      </c>
      <c r="B43" s="1401" t="s">
        <v>1450</v>
      </c>
      <c r="C43" s="1547">
        <f>P2B!C43*2</f>
        <v>0</v>
      </c>
      <c r="D43" s="1534">
        <f>P2B!D43*2</f>
        <v>0</v>
      </c>
      <c r="E43" s="1534">
        <f>P2B!E43*2</f>
        <v>0</v>
      </c>
      <c r="F43" s="1548">
        <f>P2B!F43*2</f>
        <v>0</v>
      </c>
      <c r="G43" s="1538">
        <f>P2B!G43*2</f>
        <v>72.632756000000001</v>
      </c>
      <c r="H43" s="1539">
        <f>P2B!H43*2</f>
        <v>72.632756000000001</v>
      </c>
    </row>
    <row r="44" spans="1:8">
      <c r="A44" s="1419" t="s">
        <v>965</v>
      </c>
      <c r="B44" s="1401" t="s">
        <v>1700</v>
      </c>
      <c r="C44" s="1547">
        <f>P2B!C44*2</f>
        <v>106.15732800000001</v>
      </c>
      <c r="D44" s="1534">
        <f>P2B!D44*2</f>
        <v>0</v>
      </c>
      <c r="E44" s="1534">
        <f>P2B!E44*2</f>
        <v>0</v>
      </c>
      <c r="F44" s="1548">
        <f>P2B!F44*2</f>
        <v>0</v>
      </c>
      <c r="G44" s="1538">
        <f>P2B!G44*2</f>
        <v>0</v>
      </c>
      <c r="H44" s="1539">
        <f>P2B!H44*2</f>
        <v>106.15732800000001</v>
      </c>
    </row>
    <row r="45" spans="1:8">
      <c r="A45" s="1419" t="s">
        <v>965</v>
      </c>
      <c r="B45" s="1401" t="s">
        <v>1451</v>
      </c>
      <c r="C45" s="1547">
        <f>P2B!C45*2</f>
        <v>1.6209659999999999</v>
      </c>
      <c r="D45" s="1534">
        <f>P2B!D45*2</f>
        <v>0</v>
      </c>
      <c r="E45" s="1534">
        <f>P2B!E45*2</f>
        <v>0</v>
      </c>
      <c r="F45" s="1548">
        <f>P2B!F45*2</f>
        <v>0</v>
      </c>
      <c r="G45" s="1538">
        <f>P2B!G45*2</f>
        <v>0</v>
      </c>
      <c r="H45" s="1539">
        <f>P2B!H45*2</f>
        <v>1.6209659999999999</v>
      </c>
    </row>
    <row r="46" spans="1:8">
      <c r="A46" s="1419" t="s">
        <v>965</v>
      </c>
      <c r="B46" s="1401" t="s">
        <v>1452</v>
      </c>
      <c r="C46" s="1547">
        <f>P2B!C46*2</f>
        <v>0</v>
      </c>
      <c r="D46" s="1534">
        <f>P2B!D46*2</f>
        <v>0</v>
      </c>
      <c r="E46" s="1534">
        <f>P2B!E46*2</f>
        <v>0</v>
      </c>
      <c r="F46" s="1548">
        <f>P2B!F46*2</f>
        <v>0</v>
      </c>
      <c r="G46" s="1538">
        <f>P2B!G46*2</f>
        <v>13.356032000000001</v>
      </c>
      <c r="H46" s="1539">
        <f>P2B!H46*2</f>
        <v>13.356032000000001</v>
      </c>
    </row>
    <row r="47" spans="1:8">
      <c r="A47" s="1419" t="s">
        <v>965</v>
      </c>
      <c r="B47" s="1401" t="s">
        <v>1453</v>
      </c>
      <c r="C47" s="1547">
        <f>P2B!C47*2</f>
        <v>0</v>
      </c>
      <c r="D47" s="1534">
        <f>P2B!D47*2</f>
        <v>0</v>
      </c>
      <c r="E47" s="1534">
        <f>P2B!E47*2</f>
        <v>0</v>
      </c>
      <c r="F47" s="1548">
        <f>P2B!F47*2</f>
        <v>0</v>
      </c>
      <c r="G47" s="1538">
        <f>P2B!G47*2</f>
        <v>17.016316</v>
      </c>
      <c r="H47" s="1539">
        <f>P2B!H47*2</f>
        <v>17.016316</v>
      </c>
    </row>
    <row r="48" spans="1:8">
      <c r="A48" s="1419" t="s">
        <v>965</v>
      </c>
      <c r="B48" s="1401" t="s">
        <v>1426</v>
      </c>
      <c r="C48" s="1547">
        <f>P2B!C48*2</f>
        <v>0</v>
      </c>
      <c r="D48" s="1534">
        <f>P2B!D48*2</f>
        <v>0</v>
      </c>
      <c r="E48" s="1534">
        <f>P2B!E48*2</f>
        <v>0</v>
      </c>
      <c r="F48" s="1548">
        <f>P2B!F48*2</f>
        <v>0</v>
      </c>
      <c r="G48" s="1538">
        <f>P2B!G48*2</f>
        <v>33.000860000000003</v>
      </c>
      <c r="H48" s="1539">
        <f>P2B!H48*2</f>
        <v>33.000860000000003</v>
      </c>
    </row>
    <row r="49" spans="1:8">
      <c r="A49" s="1419" t="s">
        <v>965</v>
      </c>
      <c r="B49" s="1401" t="s">
        <v>1442</v>
      </c>
      <c r="C49" s="1547">
        <f>P2B!C49*2</f>
        <v>0</v>
      </c>
      <c r="D49" s="1534">
        <f>P2B!D49*2</f>
        <v>0</v>
      </c>
      <c r="E49" s="1534">
        <f>P2B!E49*2</f>
        <v>0</v>
      </c>
      <c r="F49" s="1548">
        <f>P2B!F49*2</f>
        <v>0</v>
      </c>
      <c r="G49" s="1538">
        <f>P2B!G49*2</f>
        <v>35.231858000000003</v>
      </c>
      <c r="H49" s="1539">
        <f>P2B!H49*2</f>
        <v>35.231858000000003</v>
      </c>
    </row>
    <row r="50" spans="1:8">
      <c r="A50" s="1419" t="s">
        <v>965</v>
      </c>
      <c r="B50" s="1401" t="s">
        <v>1429</v>
      </c>
      <c r="C50" s="1547">
        <f>P2B!C50*2</f>
        <v>0</v>
      </c>
      <c r="D50" s="1534">
        <f>P2B!D50*2</f>
        <v>0</v>
      </c>
      <c r="E50" s="1534">
        <f>P2B!E50*2</f>
        <v>0</v>
      </c>
      <c r="F50" s="1548">
        <f>P2B!F50*2</f>
        <v>0</v>
      </c>
      <c r="G50" s="1538">
        <f>P2B!G50*2</f>
        <v>62.095599999999997</v>
      </c>
      <c r="H50" s="1539">
        <f>P2B!H50*2</f>
        <v>62.095599999999997</v>
      </c>
    </row>
    <row r="51" spans="1:8">
      <c r="A51" s="1419" t="s">
        <v>965</v>
      </c>
      <c r="B51" s="1401" t="s">
        <v>1484</v>
      </c>
      <c r="C51" s="1547">
        <f>P2B!C51*2</f>
        <v>0</v>
      </c>
      <c r="D51" s="1534">
        <f>P2B!D51*2</f>
        <v>0</v>
      </c>
      <c r="E51" s="1534">
        <f>P2B!E51*2</f>
        <v>0</v>
      </c>
      <c r="F51" s="1548">
        <f>P2B!F51*2</f>
        <v>0</v>
      </c>
      <c r="G51" s="1538">
        <f>P2B!G51*2</f>
        <v>0</v>
      </c>
      <c r="H51" s="1539">
        <f>P2B!H51*2</f>
        <v>0</v>
      </c>
    </row>
    <row r="52" spans="1:8">
      <c r="A52" s="1419" t="s">
        <v>965</v>
      </c>
      <c r="B52" s="1401" t="s">
        <v>1443</v>
      </c>
      <c r="C52" s="1547">
        <f>P2B!C52*2</f>
        <v>0</v>
      </c>
      <c r="D52" s="1534">
        <f>P2B!D52*2</f>
        <v>0</v>
      </c>
      <c r="E52" s="1534">
        <f>P2B!E52*2</f>
        <v>0</v>
      </c>
      <c r="F52" s="1548">
        <f>P2B!F52*2</f>
        <v>0</v>
      </c>
      <c r="G52" s="1538">
        <f>P2B!G52*2</f>
        <v>36.191920000000003</v>
      </c>
      <c r="H52" s="1539">
        <f>P2B!H52*2</f>
        <v>36.191920000000003</v>
      </c>
    </row>
    <row r="53" spans="1:8" ht="15.75" thickBot="1">
      <c r="A53" s="1419" t="s">
        <v>965</v>
      </c>
      <c r="B53" s="1401" t="s">
        <v>1701</v>
      </c>
      <c r="C53" s="1549">
        <f>P2B!C53*2</f>
        <v>47.967911999999998</v>
      </c>
      <c r="D53" s="1550">
        <f>P2B!D53*2</f>
        <v>0</v>
      </c>
      <c r="E53" s="1550">
        <f>P2B!E53*2</f>
        <v>0</v>
      </c>
      <c r="F53" s="1551">
        <f>P2B!F53*2</f>
        <v>0</v>
      </c>
      <c r="G53" s="1538">
        <f>P2B!G53*2</f>
        <v>0</v>
      </c>
      <c r="H53" s="1539">
        <f>P2B!H53*2</f>
        <v>47.967911999999998</v>
      </c>
    </row>
    <row r="54" spans="1:8" ht="15.75" thickBot="1">
      <c r="A54" s="1417"/>
      <c r="B54" s="1412"/>
      <c r="C54" s="1536"/>
      <c r="D54" s="1537"/>
      <c r="E54" s="1537"/>
      <c r="F54" s="1538"/>
      <c r="G54" s="1552"/>
      <c r="H54" s="1541"/>
    </row>
    <row r="55" spans="1:8">
      <c r="A55" s="1418" t="s">
        <v>1106</v>
      </c>
      <c r="B55" s="1401" t="s">
        <v>1421</v>
      </c>
      <c r="C55" s="1542">
        <f>P2B!C55*2</f>
        <v>0</v>
      </c>
      <c r="D55" s="1543">
        <f>P2B!D55*2</f>
        <v>0</v>
      </c>
      <c r="E55" s="1543">
        <f>P2B!E55*2</f>
        <v>526.36060199999997</v>
      </c>
      <c r="F55" s="1544">
        <f>P2B!F55*2</f>
        <v>0</v>
      </c>
      <c r="G55" s="1538">
        <f>P2B!G55*2</f>
        <v>0</v>
      </c>
      <c r="H55" s="1539">
        <f>P2B!H55*2</f>
        <v>526.36060199999997</v>
      </c>
    </row>
    <row r="56" spans="1:8">
      <c r="A56" s="1419" t="s">
        <v>1106</v>
      </c>
      <c r="B56" s="1401" t="s">
        <v>1454</v>
      </c>
      <c r="C56" s="1547">
        <f>P2B!C56*2</f>
        <v>0</v>
      </c>
      <c r="D56" s="1534">
        <f>P2B!D56*2</f>
        <v>0</v>
      </c>
      <c r="E56" s="1534">
        <f>P2B!E56*2</f>
        <v>340.99955799999998</v>
      </c>
      <c r="F56" s="1548">
        <f>P2B!F56*2</f>
        <v>0</v>
      </c>
      <c r="G56" s="1538">
        <f>P2B!G56*2</f>
        <v>0</v>
      </c>
      <c r="H56" s="1539">
        <f>P2B!H56*2</f>
        <v>340.99955799999998</v>
      </c>
    </row>
    <row r="57" spans="1:8">
      <c r="A57" s="1419" t="s">
        <v>1106</v>
      </c>
      <c r="B57" s="1401" t="s">
        <v>1420</v>
      </c>
      <c r="C57" s="1547">
        <f>P2B!C57*2</f>
        <v>0</v>
      </c>
      <c r="D57" s="1534">
        <f>P2B!D57*2</f>
        <v>0</v>
      </c>
      <c r="E57" s="1534">
        <f>P2B!E57*2</f>
        <v>392.61365799999999</v>
      </c>
      <c r="F57" s="1548">
        <f>P2B!F57*2</f>
        <v>0</v>
      </c>
      <c r="G57" s="1538">
        <f>P2B!G57*2</f>
        <v>0</v>
      </c>
      <c r="H57" s="1539">
        <f>P2B!H57*2</f>
        <v>392.61365799999999</v>
      </c>
    </row>
    <row r="58" spans="1:8">
      <c r="A58" s="1419" t="s">
        <v>1106</v>
      </c>
      <c r="B58" s="1401" t="s">
        <v>1422</v>
      </c>
      <c r="C58" s="1547">
        <f>P2B!C58*2</f>
        <v>0</v>
      </c>
      <c r="D58" s="1534">
        <f>P2B!D58*2</f>
        <v>0</v>
      </c>
      <c r="E58" s="1534">
        <f>P2B!E58*2</f>
        <v>121.244552</v>
      </c>
      <c r="F58" s="1548">
        <f>P2B!F58*2</f>
        <v>0</v>
      </c>
      <c r="G58" s="1538">
        <f>P2B!G58*2</f>
        <v>0</v>
      </c>
      <c r="H58" s="1539">
        <f>P2B!H58*2</f>
        <v>121.244552</v>
      </c>
    </row>
    <row r="59" spans="1:8">
      <c r="A59" s="1419" t="s">
        <v>1106</v>
      </c>
      <c r="B59" s="1401" t="s">
        <v>1457</v>
      </c>
      <c r="C59" s="1547">
        <f>P2B!C59*2</f>
        <v>0</v>
      </c>
      <c r="D59" s="1534">
        <f>P2B!D59*2</f>
        <v>0</v>
      </c>
      <c r="E59" s="1534">
        <f>P2B!E59*2</f>
        <v>199.51365000000001</v>
      </c>
      <c r="F59" s="1548">
        <f>P2B!F59*2</f>
        <v>0</v>
      </c>
      <c r="G59" s="1538">
        <f>P2B!G59*2</f>
        <v>0</v>
      </c>
      <c r="H59" s="1539">
        <f>P2B!H59*2</f>
        <v>199.51365000000001</v>
      </c>
    </row>
    <row r="60" spans="1:8">
      <c r="A60" s="1419" t="s">
        <v>1106</v>
      </c>
      <c r="B60" s="1401" t="s">
        <v>1458</v>
      </c>
      <c r="C60" s="1547">
        <f>P2B!C60*2</f>
        <v>0</v>
      </c>
      <c r="D60" s="1534">
        <f>P2B!D60*2</f>
        <v>0</v>
      </c>
      <c r="E60" s="1534">
        <f>P2B!E60*2</f>
        <v>516.45469000000003</v>
      </c>
      <c r="F60" s="1548">
        <f>P2B!F60*2</f>
        <v>0</v>
      </c>
      <c r="G60" s="1538">
        <f>P2B!G60*2</f>
        <v>0</v>
      </c>
      <c r="H60" s="1539">
        <f>P2B!H60*2</f>
        <v>516.45469000000003</v>
      </c>
    </row>
    <row r="61" spans="1:8">
      <c r="A61" s="1419" t="s">
        <v>1106</v>
      </c>
      <c r="B61" s="1401" t="s">
        <v>1459</v>
      </c>
      <c r="C61" s="1547">
        <f>P2B!C61*2</f>
        <v>0</v>
      </c>
      <c r="D61" s="1534">
        <f>P2B!D61*2</f>
        <v>0</v>
      </c>
      <c r="E61" s="1534">
        <f>P2B!E61*2</f>
        <v>150.33690000000001</v>
      </c>
      <c r="F61" s="1548">
        <f>P2B!F61*2</f>
        <v>0</v>
      </c>
      <c r="G61" s="1538">
        <f>P2B!G61*2</f>
        <v>0</v>
      </c>
      <c r="H61" s="1539">
        <f>P2B!H61*2</f>
        <v>150.33690000000001</v>
      </c>
    </row>
    <row r="62" spans="1:8">
      <c r="A62" s="1419" t="s">
        <v>1106</v>
      </c>
      <c r="B62" s="1401" t="s">
        <v>1460</v>
      </c>
      <c r="C62" s="1547">
        <f>P2B!C62*2</f>
        <v>0</v>
      </c>
      <c r="D62" s="1534">
        <f>P2B!D62*2</f>
        <v>0</v>
      </c>
      <c r="E62" s="1534">
        <f>P2B!E62*2</f>
        <v>418.26063399999998</v>
      </c>
      <c r="F62" s="1548">
        <f>P2B!F62*2</f>
        <v>0</v>
      </c>
      <c r="G62" s="1538">
        <f>P2B!G62*2</f>
        <v>0</v>
      </c>
      <c r="H62" s="1539">
        <f>P2B!H62*2</f>
        <v>418.26063399999998</v>
      </c>
    </row>
    <row r="63" spans="1:8">
      <c r="A63" s="1419" t="s">
        <v>1106</v>
      </c>
      <c r="B63" s="1401" t="s">
        <v>1461</v>
      </c>
      <c r="C63" s="1547">
        <f>P2B!C63*2</f>
        <v>0</v>
      </c>
      <c r="D63" s="1534">
        <f>P2B!D63*2</f>
        <v>0</v>
      </c>
      <c r="E63" s="1534">
        <f>P2B!E63*2</f>
        <v>306.69619399999999</v>
      </c>
      <c r="F63" s="1548">
        <f>P2B!F63*2</f>
        <v>0</v>
      </c>
      <c r="G63" s="1538">
        <f>P2B!G63*2</f>
        <v>0</v>
      </c>
      <c r="H63" s="1539">
        <f>P2B!H63*2</f>
        <v>306.69619399999999</v>
      </c>
    </row>
    <row r="64" spans="1:8">
      <c r="A64" s="1419" t="s">
        <v>1106</v>
      </c>
      <c r="B64" s="1401" t="s">
        <v>1423</v>
      </c>
      <c r="C64" s="1547">
        <f>P2B!C64*2</f>
        <v>0</v>
      </c>
      <c r="D64" s="1534">
        <f>P2B!D64*2</f>
        <v>0</v>
      </c>
      <c r="E64" s="1534">
        <f>P2B!E64*2</f>
        <v>499.53219000000001</v>
      </c>
      <c r="F64" s="1548">
        <f>P2B!F64*2</f>
        <v>0</v>
      </c>
      <c r="G64" s="1538">
        <f>P2B!G64*2</f>
        <v>0</v>
      </c>
      <c r="H64" s="1539">
        <f>P2B!H64*2</f>
        <v>499.53219000000001</v>
      </c>
    </row>
    <row r="65" spans="1:8">
      <c r="A65" s="1419" t="s">
        <v>1106</v>
      </c>
      <c r="B65" s="1401" t="s">
        <v>1462</v>
      </c>
      <c r="C65" s="1547">
        <f>P2B!C65*2</f>
        <v>0</v>
      </c>
      <c r="D65" s="1534">
        <f>P2B!D65*2</f>
        <v>0</v>
      </c>
      <c r="E65" s="1534">
        <f>P2B!E65*2</f>
        <v>580.52891399999999</v>
      </c>
      <c r="F65" s="1548">
        <f>P2B!F65*2</f>
        <v>0</v>
      </c>
      <c r="G65" s="1538">
        <f>P2B!G65*2</f>
        <v>0</v>
      </c>
      <c r="H65" s="1539">
        <f>P2B!H65*2</f>
        <v>580.52891399999999</v>
      </c>
    </row>
    <row r="66" spans="1:8">
      <c r="A66" s="1419" t="s">
        <v>1106</v>
      </c>
      <c r="B66" s="1401" t="s">
        <v>1424</v>
      </c>
      <c r="C66" s="1547">
        <f>P2B!C66*2</f>
        <v>0</v>
      </c>
      <c r="D66" s="1534">
        <f>P2B!D66*2</f>
        <v>0</v>
      </c>
      <c r="E66" s="1534">
        <f>P2B!E66*2</f>
        <v>378.40678400000002</v>
      </c>
      <c r="F66" s="1548">
        <f>P2B!F66*2</f>
        <v>0</v>
      </c>
      <c r="G66" s="1538">
        <f>P2B!G66*2</f>
        <v>0</v>
      </c>
      <c r="H66" s="1539">
        <f>P2B!H66*2</f>
        <v>378.40678400000002</v>
      </c>
    </row>
    <row r="67" spans="1:8">
      <c r="A67" s="1419" t="s">
        <v>1106</v>
      </c>
      <c r="B67" s="1401" t="s">
        <v>1463</v>
      </c>
      <c r="C67" s="1547">
        <f>P2B!C67*2</f>
        <v>0</v>
      </c>
      <c r="D67" s="1534">
        <f>P2B!D67*2</f>
        <v>0</v>
      </c>
      <c r="E67" s="1534">
        <f>P2B!E67*2</f>
        <v>268.33617800000002</v>
      </c>
      <c r="F67" s="1548">
        <f>P2B!F67*2</f>
        <v>0</v>
      </c>
      <c r="G67" s="1538">
        <f>P2B!G67*2</f>
        <v>0</v>
      </c>
      <c r="H67" s="1539">
        <f>P2B!H67*2</f>
        <v>268.33617800000002</v>
      </c>
    </row>
    <row r="68" spans="1:8">
      <c r="A68" s="1419" t="s">
        <v>1106</v>
      </c>
      <c r="B68" s="1401" t="s">
        <v>1464</v>
      </c>
      <c r="C68" s="1547">
        <f>P2B!C68*2</f>
        <v>0</v>
      </c>
      <c r="D68" s="1534">
        <f>P2B!D68*2</f>
        <v>0</v>
      </c>
      <c r="E68" s="1534">
        <f>P2B!E68*2</f>
        <v>487.37865399999998</v>
      </c>
      <c r="F68" s="1548">
        <f>P2B!F68*2</f>
        <v>0</v>
      </c>
      <c r="G68" s="1538">
        <f>P2B!G68*2</f>
        <v>0</v>
      </c>
      <c r="H68" s="1539">
        <f>P2B!H68*2</f>
        <v>487.37865399999998</v>
      </c>
    </row>
    <row r="69" spans="1:8">
      <c r="A69" s="1419" t="s">
        <v>1106</v>
      </c>
      <c r="B69" s="1401" t="s">
        <v>1465</v>
      </c>
      <c r="C69" s="1547">
        <f>P2B!C69*2</f>
        <v>0</v>
      </c>
      <c r="D69" s="1534">
        <f>P2B!D69*2</f>
        <v>0</v>
      </c>
      <c r="E69" s="1534">
        <f>P2B!E69*2</f>
        <v>171.23244</v>
      </c>
      <c r="F69" s="1548">
        <f>P2B!F69*2</f>
        <v>0</v>
      </c>
      <c r="G69" s="1538">
        <f>P2B!G69*2</f>
        <v>0</v>
      </c>
      <c r="H69" s="1539">
        <f>P2B!H69*2</f>
        <v>171.23244</v>
      </c>
    </row>
    <row r="70" spans="1:8">
      <c r="A70" s="1419" t="s">
        <v>1106</v>
      </c>
      <c r="B70" s="1401" t="s">
        <v>1466</v>
      </c>
      <c r="C70" s="1547">
        <f>P2B!C70*2</f>
        <v>0</v>
      </c>
      <c r="D70" s="1534">
        <f>P2B!D70*2</f>
        <v>0</v>
      </c>
      <c r="E70" s="1534">
        <f>P2B!E70*2</f>
        <v>317.985298</v>
      </c>
      <c r="F70" s="1548">
        <f>P2B!F70*2</f>
        <v>0</v>
      </c>
      <c r="G70" s="1538">
        <f>P2B!G70*2</f>
        <v>0</v>
      </c>
      <c r="H70" s="1539">
        <f>P2B!H70*2</f>
        <v>317.985298</v>
      </c>
    </row>
    <row r="71" spans="1:8">
      <c r="A71" s="1419" t="s">
        <v>1106</v>
      </c>
      <c r="B71" s="1401" t="s">
        <v>1425</v>
      </c>
      <c r="C71" s="1547">
        <f>P2B!C71*2</f>
        <v>0</v>
      </c>
      <c r="D71" s="1534">
        <f>P2B!D71*2</f>
        <v>0</v>
      </c>
      <c r="E71" s="1534">
        <f>P2B!E71*2</f>
        <v>176.763802</v>
      </c>
      <c r="F71" s="1548">
        <f>P2B!F71*2</f>
        <v>0</v>
      </c>
      <c r="G71" s="1538">
        <f>P2B!G71*2</f>
        <v>0</v>
      </c>
      <c r="H71" s="1539">
        <f>P2B!H71*2</f>
        <v>176.763802</v>
      </c>
    </row>
    <row r="72" spans="1:8">
      <c r="A72" s="1419" t="s">
        <v>1106</v>
      </c>
      <c r="B72" s="1401" t="s">
        <v>1467</v>
      </c>
      <c r="C72" s="1547">
        <f>P2B!C72*2</f>
        <v>0</v>
      </c>
      <c r="D72" s="1534">
        <f>P2B!D72*2</f>
        <v>0</v>
      </c>
      <c r="E72" s="1534">
        <f>P2B!E72*2</f>
        <v>197.35298599999999</v>
      </c>
      <c r="F72" s="1548">
        <f>P2B!F72*2</f>
        <v>0</v>
      </c>
      <c r="G72" s="1538">
        <f>P2B!G72*2</f>
        <v>0</v>
      </c>
      <c r="H72" s="1539">
        <f>P2B!H72*2</f>
        <v>197.35298599999999</v>
      </c>
    </row>
    <row r="73" spans="1:8">
      <c r="A73" s="1419" t="s">
        <v>1106</v>
      </c>
      <c r="B73" s="1401" t="s">
        <v>1468</v>
      </c>
      <c r="C73" s="1547">
        <f>P2B!C73*2</f>
        <v>0</v>
      </c>
      <c r="D73" s="1534">
        <f>P2B!D73*2</f>
        <v>0</v>
      </c>
      <c r="E73" s="1534">
        <f>P2B!E73*2</f>
        <v>152.25907000000001</v>
      </c>
      <c r="F73" s="1548">
        <f>P2B!F73*2</f>
        <v>0</v>
      </c>
      <c r="G73" s="1538">
        <f>P2B!G73*2</f>
        <v>0</v>
      </c>
      <c r="H73" s="1539">
        <f>P2B!H73*2</f>
        <v>152.25907000000001</v>
      </c>
    </row>
    <row r="74" spans="1:8">
      <c r="A74" s="1419" t="s">
        <v>1106</v>
      </c>
      <c r="B74" s="1401" t="s">
        <v>1469</v>
      </c>
      <c r="C74" s="1547">
        <f>P2B!C74*2</f>
        <v>0</v>
      </c>
      <c r="D74" s="1534">
        <f>P2B!D74*2</f>
        <v>0</v>
      </c>
      <c r="E74" s="1534">
        <f>P2B!E74*2</f>
        <v>317.98368799999997</v>
      </c>
      <c r="F74" s="1548">
        <f>P2B!F74*2</f>
        <v>0</v>
      </c>
      <c r="G74" s="1538">
        <f>P2B!G74*2</f>
        <v>0</v>
      </c>
      <c r="H74" s="1539">
        <f>P2B!H74*2</f>
        <v>317.98368799999997</v>
      </c>
    </row>
    <row r="75" spans="1:8">
      <c r="A75" s="1419" t="s">
        <v>1106</v>
      </c>
      <c r="B75" s="1401" t="s">
        <v>1470</v>
      </c>
      <c r="C75" s="1547">
        <f>P2B!C75*2</f>
        <v>0</v>
      </c>
      <c r="D75" s="1534">
        <f>P2B!D75*2</f>
        <v>0</v>
      </c>
      <c r="E75" s="1534">
        <f>P2B!E75*2</f>
        <v>510.84046999999998</v>
      </c>
      <c r="F75" s="1548">
        <f>P2B!F75*2</f>
        <v>0</v>
      </c>
      <c r="G75" s="1538">
        <f>P2B!G75*2</f>
        <v>0</v>
      </c>
      <c r="H75" s="1539">
        <f>P2B!H75*2</f>
        <v>510.84046999999998</v>
      </c>
    </row>
    <row r="76" spans="1:8">
      <c r="A76" s="1419" t="s">
        <v>1106</v>
      </c>
      <c r="B76" s="1401" t="s">
        <v>1427</v>
      </c>
      <c r="C76" s="1547">
        <f>P2B!C76*2</f>
        <v>0</v>
      </c>
      <c r="D76" s="1534">
        <f>P2B!D76*2</f>
        <v>0</v>
      </c>
      <c r="E76" s="1534">
        <f>P2B!E76*2</f>
        <v>293.07357200000001</v>
      </c>
      <c r="F76" s="1548">
        <f>P2B!F76*2</f>
        <v>0</v>
      </c>
      <c r="G76" s="1538">
        <f>P2B!G76*2</f>
        <v>0</v>
      </c>
      <c r="H76" s="1539">
        <f>P2B!H76*2</f>
        <v>293.07357200000001</v>
      </c>
    </row>
    <row r="77" spans="1:8">
      <c r="A77" s="1419" t="s">
        <v>1106</v>
      </c>
      <c r="B77" s="1401" t="s">
        <v>1428</v>
      </c>
      <c r="C77" s="1547">
        <f>P2B!C77*2</f>
        <v>0</v>
      </c>
      <c r="D77" s="1534">
        <f>P2B!D77*2</f>
        <v>0</v>
      </c>
      <c r="E77" s="1534">
        <f>P2B!E77*2</f>
        <v>171.23048800000001</v>
      </c>
      <c r="F77" s="1548">
        <f>P2B!F77*2</f>
        <v>0</v>
      </c>
      <c r="G77" s="1538">
        <f>P2B!G77*2</f>
        <v>0</v>
      </c>
      <c r="H77" s="1539">
        <f>P2B!H77*2</f>
        <v>171.23048800000001</v>
      </c>
    </row>
    <row r="78" spans="1:8">
      <c r="A78" s="1419" t="s">
        <v>1106</v>
      </c>
      <c r="B78" s="1401" t="s">
        <v>1473</v>
      </c>
      <c r="C78" s="1547">
        <f>P2B!C78*2</f>
        <v>0</v>
      </c>
      <c r="D78" s="1534">
        <f>P2B!D78*2</f>
        <v>0</v>
      </c>
      <c r="E78" s="1534">
        <f>P2B!E78*2</f>
        <v>438.43662399999999</v>
      </c>
      <c r="F78" s="1548">
        <f>P2B!F78*2</f>
        <v>0</v>
      </c>
      <c r="G78" s="1538">
        <f>P2B!G78*2</f>
        <v>0</v>
      </c>
      <c r="H78" s="1539">
        <f>P2B!H78*2</f>
        <v>438.43662399999999</v>
      </c>
    </row>
    <row r="79" spans="1:8">
      <c r="A79" s="1419" t="s">
        <v>1106</v>
      </c>
      <c r="B79" s="1401" t="s">
        <v>1474</v>
      </c>
      <c r="C79" s="1547">
        <f>P2B!C79*2</f>
        <v>0</v>
      </c>
      <c r="D79" s="1534">
        <f>P2B!D79*2</f>
        <v>0</v>
      </c>
      <c r="E79" s="1534">
        <f>P2B!E79*2</f>
        <v>695.77215999999999</v>
      </c>
      <c r="F79" s="1548">
        <f>P2B!F79*2</f>
        <v>0</v>
      </c>
      <c r="G79" s="1538">
        <f>P2B!G79*2</f>
        <v>0</v>
      </c>
      <c r="H79" s="1539">
        <f>P2B!H79*2</f>
        <v>695.77215999999999</v>
      </c>
    </row>
    <row r="80" spans="1:8">
      <c r="A80" s="1419" t="s">
        <v>1106</v>
      </c>
      <c r="B80" s="1401" t="s">
        <v>1716</v>
      </c>
      <c r="C80" s="1547">
        <f>P2B!C80*2</f>
        <v>0</v>
      </c>
      <c r="D80" s="1534">
        <f>P2B!D80*2</f>
        <v>0</v>
      </c>
      <c r="E80" s="1534">
        <f>P2B!E80*2</f>
        <v>49.786140000000003</v>
      </c>
      <c r="F80" s="1548">
        <f>P2B!F80*2</f>
        <v>0</v>
      </c>
      <c r="G80" s="1538">
        <f>P2B!G80*2</f>
        <v>0</v>
      </c>
      <c r="H80" s="1539">
        <f>P2B!H80*2</f>
        <v>49.786140000000003</v>
      </c>
    </row>
    <row r="81" spans="1:8">
      <c r="A81" s="1419" t="s">
        <v>1106</v>
      </c>
      <c r="B81" s="1401" t="s">
        <v>1475</v>
      </c>
      <c r="C81" s="1547">
        <f>P2B!C81*2</f>
        <v>0</v>
      </c>
      <c r="D81" s="1534">
        <f>P2B!D81*2</f>
        <v>0</v>
      </c>
      <c r="E81" s="1534">
        <f>P2B!E81*2</f>
        <v>262.535394</v>
      </c>
      <c r="F81" s="1548">
        <f>P2B!F81*2</f>
        <v>0</v>
      </c>
      <c r="G81" s="1538">
        <f>P2B!G81*2</f>
        <v>0</v>
      </c>
      <c r="H81" s="1539">
        <f>P2B!H81*2</f>
        <v>262.535394</v>
      </c>
    </row>
    <row r="82" spans="1:8">
      <c r="A82" s="1419" t="s">
        <v>1106</v>
      </c>
      <c r="B82" s="1401" t="s">
        <v>1476</v>
      </c>
      <c r="C82" s="1547">
        <f>P2B!C82*2</f>
        <v>0</v>
      </c>
      <c r="D82" s="1534">
        <f>P2B!D82*2</f>
        <v>0</v>
      </c>
      <c r="E82" s="1534">
        <f>P2B!E82*2</f>
        <v>98.632617999999994</v>
      </c>
      <c r="F82" s="1548">
        <f>P2B!F82*2</f>
        <v>0</v>
      </c>
      <c r="G82" s="1538">
        <f>P2B!G82*2</f>
        <v>0</v>
      </c>
      <c r="H82" s="1539">
        <f>P2B!H82*2</f>
        <v>98.632617999999994</v>
      </c>
    </row>
    <row r="83" spans="1:8">
      <c r="A83" s="1419" t="s">
        <v>1106</v>
      </c>
      <c r="B83" s="1401" t="s">
        <v>1477</v>
      </c>
      <c r="C83" s="1547">
        <f>P2B!C83*2</f>
        <v>0</v>
      </c>
      <c r="D83" s="1534">
        <f>P2B!D83*2</f>
        <v>0</v>
      </c>
      <c r="E83" s="1534">
        <f>P2B!E83*2</f>
        <v>276.22247599999997</v>
      </c>
      <c r="F83" s="1548">
        <f>P2B!F83*2</f>
        <v>0</v>
      </c>
      <c r="G83" s="1538">
        <f>P2B!G83*2</f>
        <v>0</v>
      </c>
      <c r="H83" s="1539">
        <f>P2B!H83*2</f>
        <v>276.22247599999997</v>
      </c>
    </row>
    <row r="84" spans="1:8">
      <c r="A84" s="1419" t="s">
        <v>1106</v>
      </c>
      <c r="B84" s="1401" t="s">
        <v>1478</v>
      </c>
      <c r="C84" s="1547">
        <f>P2B!C84*2</f>
        <v>0</v>
      </c>
      <c r="D84" s="1534">
        <f>P2B!D84*2</f>
        <v>0</v>
      </c>
      <c r="E84" s="1534">
        <f>P2B!E84*2</f>
        <v>315.44367599999998</v>
      </c>
      <c r="F84" s="1548">
        <f>P2B!F84*2</f>
        <v>0</v>
      </c>
      <c r="G84" s="1538">
        <f>P2B!G84*2</f>
        <v>0</v>
      </c>
      <c r="H84" s="1539">
        <f>P2B!H84*2</f>
        <v>315.44367599999998</v>
      </c>
    </row>
    <row r="85" spans="1:8">
      <c r="A85" s="1419" t="s">
        <v>1106</v>
      </c>
      <c r="B85" s="1401" t="s">
        <v>2266</v>
      </c>
      <c r="C85" s="1547">
        <f>P2B!C85*2</f>
        <v>0</v>
      </c>
      <c r="D85" s="1534">
        <f>P2B!D85*2</f>
        <v>0</v>
      </c>
      <c r="E85" s="1534">
        <f>P2B!E85*2</f>
        <v>212.778704</v>
      </c>
      <c r="F85" s="1548">
        <f>P2B!F85*2</f>
        <v>0</v>
      </c>
      <c r="G85" s="1538">
        <f>P2B!G85*2</f>
        <v>0</v>
      </c>
      <c r="H85" s="1539">
        <f>P2B!H85*2</f>
        <v>212.778704</v>
      </c>
    </row>
    <row r="86" spans="1:8">
      <c r="A86" s="1419" t="s">
        <v>1106</v>
      </c>
      <c r="B86" s="1401" t="s">
        <v>1479</v>
      </c>
      <c r="C86" s="1547">
        <f>P2B!C86*2</f>
        <v>0</v>
      </c>
      <c r="D86" s="1534">
        <f>P2B!D86*2</f>
        <v>0</v>
      </c>
      <c r="E86" s="1534">
        <f>P2B!E86*2</f>
        <v>126.104478</v>
      </c>
      <c r="F86" s="1548">
        <f>P2B!F86*2</f>
        <v>0</v>
      </c>
      <c r="G86" s="1538">
        <f>P2B!G86*2</f>
        <v>0</v>
      </c>
      <c r="H86" s="1539">
        <f>P2B!H86*2</f>
        <v>126.104478</v>
      </c>
    </row>
    <row r="87" spans="1:8">
      <c r="A87" s="1419" t="s">
        <v>1106</v>
      </c>
      <c r="B87" s="1401" t="s">
        <v>1480</v>
      </c>
      <c r="C87" s="1547">
        <f>P2B!C87*2</f>
        <v>0</v>
      </c>
      <c r="D87" s="1534">
        <f>P2B!D87*2</f>
        <v>0</v>
      </c>
      <c r="E87" s="1534">
        <f>P2B!E87*2</f>
        <v>169.35996800000001</v>
      </c>
      <c r="F87" s="1548">
        <f>P2B!F87*2</f>
        <v>0</v>
      </c>
      <c r="G87" s="1538">
        <f>P2B!G87*2</f>
        <v>0</v>
      </c>
      <c r="H87" s="1539">
        <f>P2B!H87*2</f>
        <v>169.35996800000001</v>
      </c>
    </row>
    <row r="88" spans="1:8">
      <c r="A88" s="1419" t="s">
        <v>1106</v>
      </c>
      <c r="B88" s="1401" t="s">
        <v>1482</v>
      </c>
      <c r="C88" s="1547">
        <f>P2B!C88*2</f>
        <v>0</v>
      </c>
      <c r="D88" s="1534">
        <f>P2B!D88*2</f>
        <v>0</v>
      </c>
      <c r="E88" s="1534">
        <f>P2B!E88*2</f>
        <v>444.00517000000002</v>
      </c>
      <c r="F88" s="1548">
        <f>P2B!F88*2</f>
        <v>0</v>
      </c>
      <c r="G88" s="1538">
        <f>P2B!G88*2</f>
        <v>0</v>
      </c>
      <c r="H88" s="1539">
        <f>P2B!H88*2</f>
        <v>444.00517000000002</v>
      </c>
    </row>
    <row r="89" spans="1:8">
      <c r="A89" s="1419" t="s">
        <v>1106</v>
      </c>
      <c r="B89" s="1401" t="s">
        <v>1483</v>
      </c>
      <c r="C89" s="1547">
        <f>P2B!C89*2</f>
        <v>0</v>
      </c>
      <c r="D89" s="1534">
        <f>P2B!D89*2</f>
        <v>0</v>
      </c>
      <c r="E89" s="1534">
        <f>P2B!E89*2</f>
        <v>92.383483999999996</v>
      </c>
      <c r="F89" s="1548">
        <f>P2B!F89*2</f>
        <v>0</v>
      </c>
      <c r="G89" s="1538">
        <f>P2B!G89*2</f>
        <v>0</v>
      </c>
      <c r="H89" s="1539">
        <f>P2B!H89*2</f>
        <v>92.383483999999996</v>
      </c>
    </row>
    <row r="90" spans="1:8">
      <c r="A90" s="1419" t="s">
        <v>1106</v>
      </c>
      <c r="B90" s="1401" t="s">
        <v>1430</v>
      </c>
      <c r="C90" s="1547">
        <f>P2B!C90*2</f>
        <v>0</v>
      </c>
      <c r="D90" s="1534">
        <f>P2B!D90*2</f>
        <v>0</v>
      </c>
      <c r="E90" s="1534">
        <f>P2B!E90*2</f>
        <v>273.51989400000002</v>
      </c>
      <c r="F90" s="1548">
        <f>P2B!F90*2</f>
        <v>0</v>
      </c>
      <c r="G90" s="1538">
        <f>P2B!G90*2</f>
        <v>0</v>
      </c>
      <c r="H90" s="1539">
        <f>P2B!H90*2</f>
        <v>273.51989400000002</v>
      </c>
    </row>
    <row r="91" spans="1:8">
      <c r="A91" s="1419" t="s">
        <v>1106</v>
      </c>
      <c r="B91" s="1401" t="s">
        <v>1431</v>
      </c>
      <c r="C91" s="1547">
        <f>P2B!C91*2</f>
        <v>0</v>
      </c>
      <c r="D91" s="1534">
        <f>P2B!D91*2</f>
        <v>0</v>
      </c>
      <c r="E91" s="1534">
        <f>P2B!E91*2</f>
        <v>170.82679999999999</v>
      </c>
      <c r="F91" s="1548">
        <f>P2B!F91*2</f>
        <v>0</v>
      </c>
      <c r="G91" s="1538">
        <f>P2B!G91*2</f>
        <v>0</v>
      </c>
      <c r="H91" s="1539">
        <f>P2B!H91*2</f>
        <v>170.82679999999999</v>
      </c>
    </row>
    <row r="92" spans="1:8">
      <c r="A92" s="1419" t="s">
        <v>1106</v>
      </c>
      <c r="B92" s="1401" t="s">
        <v>2267</v>
      </c>
      <c r="C92" s="1547">
        <f>P2B!C92*2</f>
        <v>0</v>
      </c>
      <c r="D92" s="1534">
        <f>P2B!D92*2</f>
        <v>0</v>
      </c>
      <c r="E92" s="1534">
        <f>P2B!E92*2</f>
        <v>102.543668</v>
      </c>
      <c r="F92" s="1548">
        <f>P2B!F92*2</f>
        <v>0</v>
      </c>
      <c r="G92" s="1538">
        <f>P2B!G92*2</f>
        <v>0</v>
      </c>
      <c r="H92" s="1539">
        <f>P2B!H92*2</f>
        <v>102.543668</v>
      </c>
    </row>
    <row r="93" spans="1:8">
      <c r="A93" s="1419" t="s">
        <v>1106</v>
      </c>
      <c r="B93" s="1401" t="s">
        <v>1485</v>
      </c>
      <c r="C93" s="1547">
        <f>P2B!C93*2</f>
        <v>0</v>
      </c>
      <c r="D93" s="1534">
        <f>P2B!D93*2</f>
        <v>0</v>
      </c>
      <c r="E93" s="1534">
        <f>P2B!E93*2</f>
        <v>336.69086600000003</v>
      </c>
      <c r="F93" s="1548">
        <f>P2B!F93*2</f>
        <v>0</v>
      </c>
      <c r="G93" s="1538">
        <f>P2B!G93*2</f>
        <v>0</v>
      </c>
      <c r="H93" s="1539">
        <f>P2B!H93*2</f>
        <v>336.69086600000003</v>
      </c>
    </row>
    <row r="94" spans="1:8">
      <c r="A94" s="1419" t="s">
        <v>1106</v>
      </c>
      <c r="B94" s="1401" t="s">
        <v>1486</v>
      </c>
      <c r="C94" s="1547">
        <f>P2B!C94*2</f>
        <v>0</v>
      </c>
      <c r="D94" s="1534">
        <f>P2B!D94*2</f>
        <v>0</v>
      </c>
      <c r="E94" s="1534">
        <f>P2B!E94*2</f>
        <v>265.36819400000002</v>
      </c>
      <c r="F94" s="1548">
        <f>P2B!F94*2</f>
        <v>0</v>
      </c>
      <c r="G94" s="1538">
        <f>P2B!G94*2</f>
        <v>0</v>
      </c>
      <c r="H94" s="1539">
        <f>P2B!H94*2</f>
        <v>265.36819400000002</v>
      </c>
    </row>
    <row r="95" spans="1:8">
      <c r="A95" s="1419" t="s">
        <v>1106</v>
      </c>
      <c r="B95" s="1401" t="s">
        <v>1432</v>
      </c>
      <c r="C95" s="1547">
        <f>P2B!C95*2</f>
        <v>0</v>
      </c>
      <c r="D95" s="1534">
        <f>P2B!D95*2</f>
        <v>0</v>
      </c>
      <c r="E95" s="1534">
        <f>P2B!E95*2</f>
        <v>212.18653800000001</v>
      </c>
      <c r="F95" s="1548">
        <f>P2B!F95*2</f>
        <v>0</v>
      </c>
      <c r="G95" s="1538">
        <f>P2B!G95*2</f>
        <v>0</v>
      </c>
      <c r="H95" s="1539">
        <f>P2B!H95*2</f>
        <v>212.18653800000001</v>
      </c>
    </row>
    <row r="96" spans="1:8">
      <c r="A96" s="1419" t="s">
        <v>1106</v>
      </c>
      <c r="B96" s="1401" t="s">
        <v>1433</v>
      </c>
      <c r="C96" s="1547">
        <f>P2B!C96*2</f>
        <v>0</v>
      </c>
      <c r="D96" s="1534">
        <f>P2B!D96*2</f>
        <v>0</v>
      </c>
      <c r="E96" s="1534">
        <f>P2B!E96*2</f>
        <v>258.35901000000001</v>
      </c>
      <c r="F96" s="1548">
        <f>P2B!F96*2</f>
        <v>0</v>
      </c>
      <c r="G96" s="1538">
        <f>P2B!G96*2</f>
        <v>0</v>
      </c>
      <c r="H96" s="1539">
        <f>P2B!H96*2</f>
        <v>258.35901000000001</v>
      </c>
    </row>
    <row r="97" spans="1:8">
      <c r="A97" s="1419" t="s">
        <v>1106</v>
      </c>
      <c r="B97" s="1401" t="s">
        <v>1489</v>
      </c>
      <c r="C97" s="1547">
        <f>P2B!C97*2</f>
        <v>0</v>
      </c>
      <c r="D97" s="1534">
        <f>P2B!D97*2</f>
        <v>0</v>
      </c>
      <c r="E97" s="1534">
        <f>P2B!E97*2</f>
        <v>124.53100999999999</v>
      </c>
      <c r="F97" s="1548">
        <f>P2B!F97*2</f>
        <v>0</v>
      </c>
      <c r="G97" s="1538">
        <f>P2B!G97*2</f>
        <v>0</v>
      </c>
      <c r="H97" s="1539">
        <f>P2B!H97*2</f>
        <v>124.53100999999999</v>
      </c>
    </row>
    <row r="98" spans="1:8">
      <c r="A98" s="1419" t="s">
        <v>1106</v>
      </c>
      <c r="B98" s="1401" t="s">
        <v>1490</v>
      </c>
      <c r="C98" s="1547">
        <f>P2B!C98*2</f>
        <v>0</v>
      </c>
      <c r="D98" s="1534">
        <f>P2B!D98*2</f>
        <v>0</v>
      </c>
      <c r="E98" s="1534">
        <f>P2B!E98*2</f>
        <v>177.05841799999999</v>
      </c>
      <c r="F98" s="1548">
        <f>P2B!F98*2</f>
        <v>0</v>
      </c>
      <c r="G98" s="1538">
        <f>P2B!G98*2</f>
        <v>0</v>
      </c>
      <c r="H98" s="1539">
        <f>P2B!H98*2</f>
        <v>177.05841799999999</v>
      </c>
    </row>
    <row r="99" spans="1:8">
      <c r="A99" s="1419" t="s">
        <v>1106</v>
      </c>
      <c r="B99" s="1401" t="s">
        <v>1491</v>
      </c>
      <c r="C99" s="1547">
        <f>P2B!C99*2</f>
        <v>0</v>
      </c>
      <c r="D99" s="1534">
        <f>P2B!D99*2</f>
        <v>0</v>
      </c>
      <c r="E99" s="1534">
        <f>P2B!E99*2</f>
        <v>268.99673000000001</v>
      </c>
      <c r="F99" s="1548">
        <f>P2B!F99*2</f>
        <v>0</v>
      </c>
      <c r="G99" s="1538">
        <f>P2B!G99*2</f>
        <v>0</v>
      </c>
      <c r="H99" s="1539">
        <f>P2B!H99*2</f>
        <v>268.99673000000001</v>
      </c>
    </row>
    <row r="100" spans="1:8">
      <c r="A100" s="1419" t="s">
        <v>1106</v>
      </c>
      <c r="B100" s="1401" t="s">
        <v>1492</v>
      </c>
      <c r="C100" s="1547">
        <f>P2B!C100*2</f>
        <v>0</v>
      </c>
      <c r="D100" s="1534">
        <f>P2B!D100*2</f>
        <v>0</v>
      </c>
      <c r="E100" s="1534">
        <f>P2B!E100*2</f>
        <v>189.309776</v>
      </c>
      <c r="F100" s="1548">
        <f>P2B!F100*2</f>
        <v>0</v>
      </c>
      <c r="G100" s="1538">
        <f>P2B!G100*2</f>
        <v>0</v>
      </c>
      <c r="H100" s="1539">
        <f>P2B!H100*2</f>
        <v>189.309776</v>
      </c>
    </row>
    <row r="101" spans="1:8">
      <c r="A101" s="1419" t="s">
        <v>1106</v>
      </c>
      <c r="B101" s="1401" t="s">
        <v>1493</v>
      </c>
      <c r="C101" s="1547">
        <f>P2B!C101*2</f>
        <v>0</v>
      </c>
      <c r="D101" s="1534">
        <f>P2B!D101*2</f>
        <v>0</v>
      </c>
      <c r="E101" s="1534">
        <f>P2B!E101*2</f>
        <v>594.52164400000004</v>
      </c>
      <c r="F101" s="1548">
        <f>P2B!F101*2</f>
        <v>0</v>
      </c>
      <c r="G101" s="1538">
        <f>P2B!G101*2</f>
        <v>0</v>
      </c>
      <c r="H101" s="1539">
        <f>P2B!H101*2</f>
        <v>594.52164400000004</v>
      </c>
    </row>
    <row r="102" spans="1:8">
      <c r="A102" s="1419" t="s">
        <v>1106</v>
      </c>
      <c r="B102" s="1401" t="s">
        <v>1702</v>
      </c>
      <c r="C102" s="1547">
        <f>P2B!C102*2</f>
        <v>0</v>
      </c>
      <c r="D102" s="1534">
        <f>P2B!D102*2</f>
        <v>0</v>
      </c>
      <c r="E102" s="1534">
        <f>P2B!E102*2</f>
        <v>96.000988000000007</v>
      </c>
      <c r="F102" s="1548">
        <f>P2B!F102*2</f>
        <v>0</v>
      </c>
      <c r="G102" s="1538">
        <f>P2B!G102*2</f>
        <v>0</v>
      </c>
      <c r="H102" s="1539">
        <f>P2B!H102*2</f>
        <v>96.000988000000007</v>
      </c>
    </row>
    <row r="103" spans="1:8">
      <c r="A103" s="1419" t="s">
        <v>1106</v>
      </c>
      <c r="B103" s="1401" t="s">
        <v>1703</v>
      </c>
      <c r="C103" s="1547">
        <f>P2B!C103*2</f>
        <v>0</v>
      </c>
      <c r="D103" s="1534">
        <f>P2B!D103*2</f>
        <v>0</v>
      </c>
      <c r="E103" s="1534">
        <f>P2B!E103*2</f>
        <v>84.571200000000005</v>
      </c>
      <c r="F103" s="1548">
        <f>P2B!F103*2</f>
        <v>0</v>
      </c>
      <c r="G103" s="1538">
        <f>P2B!G103*2</f>
        <v>0</v>
      </c>
      <c r="H103" s="1539">
        <f>P2B!H103*2</f>
        <v>84.571200000000005</v>
      </c>
    </row>
    <row r="104" spans="1:8">
      <c r="A104" s="1419" t="s">
        <v>1106</v>
      </c>
      <c r="B104" s="1401" t="s">
        <v>1494</v>
      </c>
      <c r="C104" s="1547">
        <f>P2B!C104*2</f>
        <v>0</v>
      </c>
      <c r="D104" s="1534">
        <f>P2B!D104*2</f>
        <v>0</v>
      </c>
      <c r="E104" s="1534">
        <f>P2B!E104*2</f>
        <v>140.32079999999999</v>
      </c>
      <c r="F104" s="1548">
        <f>P2B!F104*2</f>
        <v>0</v>
      </c>
      <c r="G104" s="1538">
        <f>P2B!G104*2</f>
        <v>0</v>
      </c>
      <c r="H104" s="1539">
        <f>P2B!H104*2</f>
        <v>140.32079999999999</v>
      </c>
    </row>
    <row r="105" spans="1:8">
      <c r="A105" s="1419" t="s">
        <v>1106</v>
      </c>
      <c r="B105" s="1401" t="s">
        <v>1704</v>
      </c>
      <c r="C105" s="1547">
        <f>P2B!C105*2</f>
        <v>0</v>
      </c>
      <c r="D105" s="1534">
        <f>P2B!D105*2</f>
        <v>0</v>
      </c>
      <c r="E105" s="1534">
        <f>P2B!E105*2</f>
        <v>82.8</v>
      </c>
      <c r="F105" s="1548">
        <f>P2B!F105*2</f>
        <v>0</v>
      </c>
      <c r="G105" s="1538">
        <f>P2B!G105*2</f>
        <v>0</v>
      </c>
      <c r="H105" s="1539">
        <f>P2B!H105*2</f>
        <v>82.8</v>
      </c>
    </row>
    <row r="106" spans="1:8">
      <c r="A106" s="1419" t="s">
        <v>1106</v>
      </c>
      <c r="B106" s="1401" t="s">
        <v>1705</v>
      </c>
      <c r="C106" s="1547">
        <f>P2B!C106*2</f>
        <v>0</v>
      </c>
      <c r="D106" s="1534">
        <f>P2B!D106*2</f>
        <v>0</v>
      </c>
      <c r="E106" s="1534">
        <f>P2B!E106*2</f>
        <v>9.4482759999999999</v>
      </c>
      <c r="F106" s="1548">
        <f>P2B!F106*2</f>
        <v>0</v>
      </c>
      <c r="G106" s="1538">
        <f>P2B!G106*2</f>
        <v>0</v>
      </c>
      <c r="H106" s="1539">
        <f>P2B!H106*2</f>
        <v>9.4482759999999999</v>
      </c>
    </row>
    <row r="107" spans="1:8">
      <c r="A107" s="1419" t="s">
        <v>1106</v>
      </c>
      <c r="B107" s="1401" t="s">
        <v>1434</v>
      </c>
      <c r="C107" s="1547">
        <f>P2B!C107*2</f>
        <v>0</v>
      </c>
      <c r="D107" s="1534">
        <f>P2B!D107*2</f>
        <v>0</v>
      </c>
      <c r="E107" s="1534">
        <f>P2B!E107*2</f>
        <v>496.05476199999998</v>
      </c>
      <c r="F107" s="1548">
        <f>P2B!F107*2</f>
        <v>0</v>
      </c>
      <c r="G107" s="1538">
        <f>P2B!G107*2</f>
        <v>0</v>
      </c>
      <c r="H107" s="1539">
        <f>P2B!H107*2</f>
        <v>496.05476199999998</v>
      </c>
    </row>
    <row r="108" spans="1:8">
      <c r="A108" s="1419" t="s">
        <v>1106</v>
      </c>
      <c r="B108" s="1401" t="s">
        <v>1495</v>
      </c>
      <c r="C108" s="1547">
        <f>P2B!C108*2</f>
        <v>0</v>
      </c>
      <c r="D108" s="1534">
        <f>P2B!D108*2</f>
        <v>0</v>
      </c>
      <c r="E108" s="1534">
        <f>P2B!E108*2</f>
        <v>377.84637800000002</v>
      </c>
      <c r="F108" s="1548">
        <f>P2B!F108*2</f>
        <v>0</v>
      </c>
      <c r="G108" s="1538">
        <f>P2B!G108*2</f>
        <v>0</v>
      </c>
      <c r="H108" s="1539">
        <f>P2B!H108*2</f>
        <v>377.84637800000002</v>
      </c>
    </row>
    <row r="109" spans="1:8">
      <c r="A109" s="1419" t="s">
        <v>1106</v>
      </c>
      <c r="B109" s="1401" t="s">
        <v>1435</v>
      </c>
      <c r="C109" s="1547">
        <f>P2B!C109*2</f>
        <v>0</v>
      </c>
      <c r="D109" s="1534">
        <f>P2B!D109*2</f>
        <v>0</v>
      </c>
      <c r="E109" s="1534">
        <f>P2B!E109*2</f>
        <v>505.73294199999998</v>
      </c>
      <c r="F109" s="1548">
        <f>P2B!F109*2</f>
        <v>0</v>
      </c>
      <c r="G109" s="1538">
        <f>P2B!G109*2</f>
        <v>0</v>
      </c>
      <c r="H109" s="1539">
        <f>P2B!H109*2</f>
        <v>505.73294199999998</v>
      </c>
    </row>
    <row r="110" spans="1:8">
      <c r="A110" s="1419" t="s">
        <v>1106</v>
      </c>
      <c r="B110" s="1401" t="s">
        <v>1436</v>
      </c>
      <c r="C110" s="1547">
        <f>P2B!C110*2</f>
        <v>0</v>
      </c>
      <c r="D110" s="1534">
        <f>P2B!D110*2</f>
        <v>0</v>
      </c>
      <c r="E110" s="1534">
        <f>P2B!E110*2</f>
        <v>896.25963200000001</v>
      </c>
      <c r="F110" s="1548">
        <f>P2B!F110*2</f>
        <v>0</v>
      </c>
      <c r="G110" s="1538">
        <f>P2B!G110*2</f>
        <v>0</v>
      </c>
      <c r="H110" s="1539">
        <f>P2B!H110*2</f>
        <v>896.25963200000001</v>
      </c>
    </row>
    <row r="111" spans="1:8">
      <c r="A111" s="1419" t="s">
        <v>1106</v>
      </c>
      <c r="B111" s="1401" t="s">
        <v>1437</v>
      </c>
      <c r="C111" s="1547">
        <f>P2B!C111*2</f>
        <v>0</v>
      </c>
      <c r="D111" s="1534">
        <f>P2B!D111*2</f>
        <v>0</v>
      </c>
      <c r="E111" s="1534">
        <f>P2B!E111*2</f>
        <v>75.030754000000002</v>
      </c>
      <c r="F111" s="1548">
        <f>P2B!F111*2</f>
        <v>0</v>
      </c>
      <c r="G111" s="1538">
        <f>P2B!G111*2</f>
        <v>0</v>
      </c>
      <c r="H111" s="1539">
        <f>P2B!H111*2</f>
        <v>75.030754000000002</v>
      </c>
    </row>
    <row r="112" spans="1:8">
      <c r="A112" s="1419" t="s">
        <v>1106</v>
      </c>
      <c r="B112" s="1401" t="s">
        <v>1496</v>
      </c>
      <c r="C112" s="1547">
        <f>P2B!C112*2</f>
        <v>0</v>
      </c>
      <c r="D112" s="1534">
        <f>P2B!D112*2</f>
        <v>0</v>
      </c>
      <c r="E112" s="1534">
        <f>P2B!E112*2</f>
        <v>284.33700199999998</v>
      </c>
      <c r="F112" s="1548">
        <f>P2B!F112*2</f>
        <v>0</v>
      </c>
      <c r="G112" s="1538">
        <f>P2B!G112*2</f>
        <v>0</v>
      </c>
      <c r="H112" s="1539">
        <f>P2B!H112*2</f>
        <v>284.33700199999998</v>
      </c>
    </row>
    <row r="113" spans="1:8">
      <c r="A113" s="1419" t="s">
        <v>1106</v>
      </c>
      <c r="B113" s="1401" t="s">
        <v>1497</v>
      </c>
      <c r="C113" s="1547">
        <f>P2B!C113*2</f>
        <v>0</v>
      </c>
      <c r="D113" s="1534">
        <f>P2B!D113*2</f>
        <v>0</v>
      </c>
      <c r="E113" s="1534">
        <f>P2B!E113*2</f>
        <v>38.583874000000002</v>
      </c>
      <c r="F113" s="1548">
        <f>P2B!F113*2</f>
        <v>0</v>
      </c>
      <c r="G113" s="1538">
        <f>P2B!G113*2</f>
        <v>0</v>
      </c>
      <c r="H113" s="1539">
        <f>P2B!H113*2</f>
        <v>38.583874000000002</v>
      </c>
    </row>
    <row r="114" spans="1:8">
      <c r="A114" s="1419" t="s">
        <v>1106</v>
      </c>
      <c r="B114" s="1401" t="s">
        <v>2268</v>
      </c>
      <c r="C114" s="1547">
        <f>P2B!C114*2</f>
        <v>0</v>
      </c>
      <c r="D114" s="1534">
        <f>P2B!D114*2</f>
        <v>0</v>
      </c>
      <c r="E114" s="1534">
        <f>P2B!E114*2</f>
        <v>80.605599999999995</v>
      </c>
      <c r="F114" s="1548">
        <f>P2B!F114*2</f>
        <v>0</v>
      </c>
      <c r="G114" s="1538">
        <f>P2B!G114*2</f>
        <v>0</v>
      </c>
      <c r="H114" s="1539">
        <f>P2B!H114*2</f>
        <v>80.605599999999995</v>
      </c>
    </row>
    <row r="115" spans="1:8">
      <c r="A115" s="1419" t="s">
        <v>1106</v>
      </c>
      <c r="B115" s="1401" t="s">
        <v>2269</v>
      </c>
      <c r="C115" s="1547">
        <f>P2B!C115*2</f>
        <v>236.05172999999999</v>
      </c>
      <c r="D115" s="1534">
        <f>P2B!D115*2</f>
        <v>0</v>
      </c>
      <c r="E115" s="1534">
        <f>P2B!E115*2</f>
        <v>0</v>
      </c>
      <c r="F115" s="1548">
        <f>P2B!F115*2</f>
        <v>0</v>
      </c>
      <c r="G115" s="1538">
        <f>P2B!G115*2</f>
        <v>0</v>
      </c>
      <c r="H115" s="1539">
        <f>P2B!H115*2</f>
        <v>236.05172999999999</v>
      </c>
    </row>
    <row r="116" spans="1:8">
      <c r="A116" s="1419" t="s">
        <v>1106</v>
      </c>
      <c r="B116" s="1401" t="s">
        <v>1498</v>
      </c>
      <c r="C116" s="1547">
        <f>P2B!C116*2</f>
        <v>152.08891399999999</v>
      </c>
      <c r="D116" s="1534">
        <f>P2B!D116*2</f>
        <v>0</v>
      </c>
      <c r="E116" s="1534">
        <f>P2B!E116*2</f>
        <v>0</v>
      </c>
      <c r="F116" s="1548">
        <f>P2B!F116*2</f>
        <v>0</v>
      </c>
      <c r="G116" s="1538">
        <f>P2B!G116*2</f>
        <v>0</v>
      </c>
      <c r="H116" s="1539">
        <f>P2B!H116*2</f>
        <v>152.08891399999999</v>
      </c>
    </row>
    <row r="117" spans="1:8">
      <c r="A117" s="1419" t="s">
        <v>1106</v>
      </c>
      <c r="B117" s="1401" t="s">
        <v>1504</v>
      </c>
      <c r="C117" s="1547">
        <f>P2B!C117*2</f>
        <v>54.193536000000002</v>
      </c>
      <c r="D117" s="1534">
        <f>P2B!D117*2</f>
        <v>0</v>
      </c>
      <c r="E117" s="1534">
        <f>P2B!E117*2</f>
        <v>0</v>
      </c>
      <c r="F117" s="1548">
        <f>P2B!F117*2</f>
        <v>0</v>
      </c>
      <c r="G117" s="1538">
        <f>P2B!G117*2</f>
        <v>0</v>
      </c>
      <c r="H117" s="1539">
        <f>P2B!H117*2</f>
        <v>54.193536000000002</v>
      </c>
    </row>
    <row r="118" spans="1:8">
      <c r="A118" s="1419" t="s">
        <v>1106</v>
      </c>
      <c r="B118" s="1401" t="s">
        <v>1505</v>
      </c>
      <c r="C118" s="1547">
        <f>P2B!C118*2</f>
        <v>185.901714</v>
      </c>
      <c r="D118" s="1534">
        <f>P2B!D118*2</f>
        <v>0</v>
      </c>
      <c r="E118" s="1534">
        <f>P2B!E118*2</f>
        <v>0</v>
      </c>
      <c r="F118" s="1548">
        <f>P2B!F118*2</f>
        <v>0</v>
      </c>
      <c r="G118" s="1538">
        <f>P2B!G118*2</f>
        <v>0</v>
      </c>
      <c r="H118" s="1539">
        <f>P2B!H118*2</f>
        <v>185.901714</v>
      </c>
    </row>
    <row r="119" spans="1:8">
      <c r="A119" s="1419" t="s">
        <v>1106</v>
      </c>
      <c r="B119" s="1401" t="s">
        <v>1717</v>
      </c>
      <c r="C119" s="1547">
        <f>P2B!C119*2</f>
        <v>69.052000000000007</v>
      </c>
      <c r="D119" s="1534">
        <f>P2B!D119*2</f>
        <v>0</v>
      </c>
      <c r="E119" s="1534">
        <f>P2B!E119*2</f>
        <v>0</v>
      </c>
      <c r="F119" s="1548">
        <f>P2B!F119*2</f>
        <v>0</v>
      </c>
      <c r="G119" s="1538">
        <f>P2B!G119*2</f>
        <v>0</v>
      </c>
      <c r="H119" s="1539">
        <f>P2B!H119*2</f>
        <v>69.052000000000007</v>
      </c>
    </row>
    <row r="120" spans="1:8">
      <c r="A120" s="1419" t="s">
        <v>1106</v>
      </c>
      <c r="B120" s="1401" t="s">
        <v>1506</v>
      </c>
      <c r="C120" s="1547">
        <f>P2B!C120*2</f>
        <v>381.72735799999998</v>
      </c>
      <c r="D120" s="1534">
        <f>P2B!D120*2</f>
        <v>0</v>
      </c>
      <c r="E120" s="1534">
        <f>P2B!E120*2</f>
        <v>0</v>
      </c>
      <c r="F120" s="1548">
        <f>P2B!F120*2</f>
        <v>0</v>
      </c>
      <c r="G120" s="1538">
        <f>P2B!G120*2</f>
        <v>0</v>
      </c>
      <c r="H120" s="1539">
        <f>P2B!H120*2</f>
        <v>381.72735799999998</v>
      </c>
    </row>
    <row r="121" spans="1:8">
      <c r="A121" s="1419" t="s">
        <v>1106</v>
      </c>
      <c r="B121" s="1401" t="s">
        <v>1507</v>
      </c>
      <c r="C121" s="1547">
        <f>P2B!C121*2</f>
        <v>191.84532999999999</v>
      </c>
      <c r="D121" s="1534">
        <f>P2B!D121*2</f>
        <v>0</v>
      </c>
      <c r="E121" s="1534">
        <f>P2B!E121*2</f>
        <v>0</v>
      </c>
      <c r="F121" s="1548">
        <f>P2B!F121*2</f>
        <v>0</v>
      </c>
      <c r="G121" s="1538">
        <f>P2B!G121*2</f>
        <v>0</v>
      </c>
      <c r="H121" s="1539">
        <f>P2B!H121*2</f>
        <v>191.84532999999999</v>
      </c>
    </row>
    <row r="122" spans="1:8">
      <c r="A122" s="1419" t="s">
        <v>1106</v>
      </c>
      <c r="B122" s="1401" t="s">
        <v>1438</v>
      </c>
      <c r="C122" s="1547">
        <f>P2B!C122*2</f>
        <v>297.149158</v>
      </c>
      <c r="D122" s="1534">
        <f>P2B!D122*2</f>
        <v>0</v>
      </c>
      <c r="E122" s="1534">
        <f>P2B!E122*2</f>
        <v>0</v>
      </c>
      <c r="F122" s="1548">
        <f>P2B!F122*2</f>
        <v>0</v>
      </c>
      <c r="G122" s="1538">
        <f>P2B!G122*2</f>
        <v>0</v>
      </c>
      <c r="H122" s="1539">
        <f>P2B!H122*2</f>
        <v>297.149158</v>
      </c>
    </row>
    <row r="123" spans="1:8">
      <c r="A123" s="1419" t="s">
        <v>1106</v>
      </c>
      <c r="B123" s="1401" t="s">
        <v>1439</v>
      </c>
      <c r="C123" s="1547">
        <f>P2B!C123*2</f>
        <v>183.45695599999999</v>
      </c>
      <c r="D123" s="1534">
        <f>P2B!D123*2</f>
        <v>0</v>
      </c>
      <c r="E123" s="1534">
        <f>P2B!E123*2</f>
        <v>0</v>
      </c>
      <c r="F123" s="1548">
        <f>P2B!F123*2</f>
        <v>0</v>
      </c>
      <c r="G123" s="1538">
        <f>P2B!G123*2</f>
        <v>0</v>
      </c>
      <c r="H123" s="1539">
        <f>P2B!H123*2</f>
        <v>183.45695599999999</v>
      </c>
    </row>
    <row r="124" spans="1:8">
      <c r="A124" s="1419" t="s">
        <v>1106</v>
      </c>
      <c r="B124" s="1401" t="s">
        <v>1508</v>
      </c>
      <c r="C124" s="1547">
        <f>P2B!C124*2</f>
        <v>296.52249799999998</v>
      </c>
      <c r="D124" s="1534">
        <f>P2B!D124*2</f>
        <v>0</v>
      </c>
      <c r="E124" s="1534">
        <f>P2B!E124*2</f>
        <v>0</v>
      </c>
      <c r="F124" s="1548">
        <f>P2B!F124*2</f>
        <v>0</v>
      </c>
      <c r="G124" s="1538">
        <f>P2B!G124*2</f>
        <v>0</v>
      </c>
      <c r="H124" s="1539">
        <f>P2B!H124*2</f>
        <v>296.52249799999998</v>
      </c>
    </row>
    <row r="125" spans="1:8">
      <c r="A125" s="1419" t="s">
        <v>1106</v>
      </c>
      <c r="B125" s="1401" t="s">
        <v>1509</v>
      </c>
      <c r="C125" s="1547">
        <f>P2B!C125*2</f>
        <v>324.35835800000001</v>
      </c>
      <c r="D125" s="1534">
        <f>P2B!D125*2</f>
        <v>0</v>
      </c>
      <c r="E125" s="1534">
        <f>P2B!E125*2</f>
        <v>0</v>
      </c>
      <c r="F125" s="1548">
        <f>P2B!F125*2</f>
        <v>0</v>
      </c>
      <c r="G125" s="1538">
        <f>P2B!G125*2</f>
        <v>0</v>
      </c>
      <c r="H125" s="1539">
        <f>P2B!H125*2</f>
        <v>324.35835800000001</v>
      </c>
    </row>
    <row r="126" spans="1:8">
      <c r="A126" s="1419" t="s">
        <v>1106</v>
      </c>
      <c r="B126" s="1401" t="s">
        <v>1511</v>
      </c>
      <c r="C126" s="1547">
        <f>P2B!C126*2</f>
        <v>18.626524</v>
      </c>
      <c r="D126" s="1534">
        <f>P2B!D126*2</f>
        <v>0</v>
      </c>
      <c r="E126" s="1534">
        <f>P2B!E126*2</f>
        <v>0</v>
      </c>
      <c r="F126" s="1548">
        <f>P2B!F126*2</f>
        <v>0</v>
      </c>
      <c r="G126" s="1538">
        <f>P2B!G126*2</f>
        <v>0</v>
      </c>
      <c r="H126" s="1539">
        <f>P2B!H126*2</f>
        <v>18.626524</v>
      </c>
    </row>
    <row r="127" spans="1:8">
      <c r="A127" s="1419" t="s">
        <v>1106</v>
      </c>
      <c r="B127" s="1401" t="s">
        <v>1512</v>
      </c>
      <c r="C127" s="1547">
        <f>P2B!C127*2</f>
        <v>162.56939199999999</v>
      </c>
      <c r="D127" s="1534">
        <f>P2B!D127*2</f>
        <v>0</v>
      </c>
      <c r="E127" s="1534">
        <f>P2B!E127*2</f>
        <v>0</v>
      </c>
      <c r="F127" s="1548">
        <f>P2B!F127*2</f>
        <v>0</v>
      </c>
      <c r="G127" s="1538">
        <f>P2B!G127*2</f>
        <v>0</v>
      </c>
      <c r="H127" s="1539">
        <f>P2B!H127*2</f>
        <v>162.56939199999999</v>
      </c>
    </row>
    <row r="128" spans="1:8">
      <c r="A128" s="1419" t="s">
        <v>1106</v>
      </c>
      <c r="B128" s="1401" t="s">
        <v>1706</v>
      </c>
      <c r="C128" s="1547">
        <f>P2B!C128*2</f>
        <v>377.58863600000001</v>
      </c>
      <c r="D128" s="1534">
        <f>P2B!D128*2</f>
        <v>0</v>
      </c>
      <c r="E128" s="1534">
        <f>P2B!E128*2</f>
        <v>0</v>
      </c>
      <c r="F128" s="1548">
        <f>P2B!F128*2</f>
        <v>0</v>
      </c>
      <c r="G128" s="1538">
        <f>P2B!G128*2</f>
        <v>0</v>
      </c>
      <c r="H128" s="1539">
        <f>P2B!H128*2</f>
        <v>377.58863600000001</v>
      </c>
    </row>
    <row r="129" spans="1:8">
      <c r="A129" s="1419" t="s">
        <v>1106</v>
      </c>
      <c r="B129" s="1401" t="s">
        <v>1514</v>
      </c>
      <c r="C129" s="1547">
        <f>P2B!C129*2</f>
        <v>227.60705200000001</v>
      </c>
      <c r="D129" s="1534">
        <f>P2B!D129*2</f>
        <v>0</v>
      </c>
      <c r="E129" s="1534">
        <f>P2B!E129*2</f>
        <v>0</v>
      </c>
      <c r="F129" s="1548">
        <f>P2B!F129*2</f>
        <v>0</v>
      </c>
      <c r="G129" s="1538">
        <f>P2B!G129*2</f>
        <v>0</v>
      </c>
      <c r="H129" s="1539">
        <f>P2B!H129*2</f>
        <v>227.60705200000001</v>
      </c>
    </row>
    <row r="130" spans="1:8">
      <c r="A130" s="1419" t="s">
        <v>1106</v>
      </c>
      <c r="B130" s="1401" t="s">
        <v>1440</v>
      </c>
      <c r="C130" s="1547">
        <f>P2B!C130*2</f>
        <v>579.86264200000005</v>
      </c>
      <c r="D130" s="1534">
        <f>P2B!D130*2</f>
        <v>0</v>
      </c>
      <c r="E130" s="1534">
        <f>P2B!E130*2</f>
        <v>0</v>
      </c>
      <c r="F130" s="1548">
        <f>P2B!F130*2</f>
        <v>0</v>
      </c>
      <c r="G130" s="1538">
        <f>P2B!G130*2</f>
        <v>0</v>
      </c>
      <c r="H130" s="1539">
        <f>P2B!H130*2</f>
        <v>579.86264200000005</v>
      </c>
    </row>
    <row r="131" spans="1:8">
      <c r="A131" s="1419" t="s">
        <v>1106</v>
      </c>
      <c r="B131" s="1401" t="s">
        <v>1515</v>
      </c>
      <c r="C131" s="1547">
        <f>P2B!C131*2</f>
        <v>182.96491</v>
      </c>
      <c r="D131" s="1534">
        <f>P2B!D131*2</f>
        <v>0</v>
      </c>
      <c r="E131" s="1534">
        <f>P2B!E131*2</f>
        <v>0</v>
      </c>
      <c r="F131" s="1548">
        <f>P2B!F131*2</f>
        <v>0</v>
      </c>
      <c r="G131" s="1538">
        <f>P2B!G131*2</f>
        <v>0</v>
      </c>
      <c r="H131" s="1539">
        <f>P2B!H131*2</f>
        <v>182.96491</v>
      </c>
    </row>
    <row r="132" spans="1:8">
      <c r="A132" s="1419" t="s">
        <v>1106</v>
      </c>
      <c r="B132" s="1401" t="s">
        <v>1516</v>
      </c>
      <c r="C132" s="1547">
        <f>P2B!C132*2</f>
        <v>293.08204599999999</v>
      </c>
      <c r="D132" s="1534">
        <f>P2B!D132*2</f>
        <v>0</v>
      </c>
      <c r="E132" s="1534">
        <f>P2B!E132*2</f>
        <v>0</v>
      </c>
      <c r="F132" s="1548">
        <f>P2B!F132*2</f>
        <v>0</v>
      </c>
      <c r="G132" s="1538">
        <f>P2B!G132*2</f>
        <v>0</v>
      </c>
      <c r="H132" s="1539">
        <f>P2B!H132*2</f>
        <v>293.08204599999999</v>
      </c>
    </row>
    <row r="133" spans="1:8">
      <c r="A133" s="1419" t="s">
        <v>1106</v>
      </c>
      <c r="B133" s="1401" t="s">
        <v>1517</v>
      </c>
      <c r="C133" s="1547">
        <f>P2B!C133*2</f>
        <v>79.084266</v>
      </c>
      <c r="D133" s="1534">
        <f>P2B!D133*2</f>
        <v>0</v>
      </c>
      <c r="E133" s="1534">
        <f>P2B!E133*2</f>
        <v>0</v>
      </c>
      <c r="F133" s="1548">
        <f>P2B!F133*2</f>
        <v>0</v>
      </c>
      <c r="G133" s="1538">
        <f>P2B!G133*2</f>
        <v>0</v>
      </c>
      <c r="H133" s="1539">
        <f>P2B!H133*2</f>
        <v>79.084266</v>
      </c>
    </row>
    <row r="134" spans="1:8">
      <c r="A134" s="1419" t="s">
        <v>1106</v>
      </c>
      <c r="B134" s="1401" t="s">
        <v>1441</v>
      </c>
      <c r="C134" s="1547">
        <f>P2B!C134*2</f>
        <v>117.97404400000001</v>
      </c>
      <c r="D134" s="1534">
        <f>P2B!D134*2</f>
        <v>0</v>
      </c>
      <c r="E134" s="1534">
        <f>P2B!E134*2</f>
        <v>0</v>
      </c>
      <c r="F134" s="1548">
        <f>P2B!F134*2</f>
        <v>0</v>
      </c>
      <c r="G134" s="1538">
        <f>P2B!G134*2</f>
        <v>0</v>
      </c>
      <c r="H134" s="1539">
        <f>P2B!H134*2</f>
        <v>117.97404400000001</v>
      </c>
    </row>
    <row r="135" spans="1:8">
      <c r="A135" s="1419" t="s">
        <v>1106</v>
      </c>
      <c r="B135" s="1401" t="s">
        <v>1519</v>
      </c>
      <c r="C135" s="1547">
        <f>P2B!C135*2</f>
        <v>150.09769800000001</v>
      </c>
      <c r="D135" s="1534">
        <f>P2B!D135*2</f>
        <v>0</v>
      </c>
      <c r="E135" s="1534">
        <f>P2B!E135*2</f>
        <v>0</v>
      </c>
      <c r="F135" s="1548">
        <f>P2B!F135*2</f>
        <v>0</v>
      </c>
      <c r="G135" s="1538">
        <f>P2B!G135*2</f>
        <v>0</v>
      </c>
      <c r="H135" s="1539">
        <f>P2B!H135*2</f>
        <v>150.09769800000001</v>
      </c>
    </row>
    <row r="136" spans="1:8">
      <c r="A136" s="1419" t="s">
        <v>1106</v>
      </c>
      <c r="B136" s="1401" t="s">
        <v>1520</v>
      </c>
      <c r="C136" s="1547">
        <f>P2B!C136*2</f>
        <v>220.52057600000001</v>
      </c>
      <c r="D136" s="1534">
        <f>P2B!D136*2</f>
        <v>0</v>
      </c>
      <c r="E136" s="1534">
        <f>P2B!E136*2</f>
        <v>0</v>
      </c>
      <c r="F136" s="1548">
        <f>P2B!F136*2</f>
        <v>0</v>
      </c>
      <c r="G136" s="1538">
        <f>P2B!G136*2</f>
        <v>0</v>
      </c>
      <c r="H136" s="1539">
        <f>P2B!H136*2</f>
        <v>220.52057600000001</v>
      </c>
    </row>
    <row r="137" spans="1:8">
      <c r="A137" s="1419" t="s">
        <v>1106</v>
      </c>
      <c r="B137" s="1401" t="s">
        <v>1521</v>
      </c>
      <c r="C137" s="1547">
        <f>P2B!C137*2</f>
        <v>182.60195200000001</v>
      </c>
      <c r="D137" s="1534">
        <f>P2B!D137*2</f>
        <v>0</v>
      </c>
      <c r="E137" s="1534">
        <f>P2B!E137*2</f>
        <v>0</v>
      </c>
      <c r="F137" s="1548">
        <f>P2B!F137*2</f>
        <v>0</v>
      </c>
      <c r="G137" s="1538">
        <f>P2B!G137*2</f>
        <v>0</v>
      </c>
      <c r="H137" s="1539">
        <f>P2B!H137*2</f>
        <v>182.60195200000001</v>
      </c>
    </row>
    <row r="138" spans="1:8">
      <c r="A138" s="1419" t="s">
        <v>1106</v>
      </c>
      <c r="B138" s="1401" t="s">
        <v>1522</v>
      </c>
      <c r="C138" s="1547">
        <f>P2B!C138*2</f>
        <v>75.287139999999994</v>
      </c>
      <c r="D138" s="1534">
        <f>P2B!D138*2</f>
        <v>0</v>
      </c>
      <c r="E138" s="1534">
        <f>P2B!E138*2</f>
        <v>0</v>
      </c>
      <c r="F138" s="1548">
        <f>P2B!F138*2</f>
        <v>0</v>
      </c>
      <c r="G138" s="1538">
        <f>P2B!G138*2</f>
        <v>0</v>
      </c>
      <c r="H138" s="1539">
        <f>P2B!H138*2</f>
        <v>75.287139999999994</v>
      </c>
    </row>
    <row r="139" spans="1:8">
      <c r="A139" s="1419" t="s">
        <v>1106</v>
      </c>
      <c r="B139" s="1401" t="s">
        <v>1444</v>
      </c>
      <c r="C139" s="1547">
        <f>P2B!C139*2</f>
        <v>468.149226</v>
      </c>
      <c r="D139" s="1534">
        <f>P2B!D139*2</f>
        <v>0</v>
      </c>
      <c r="E139" s="1534">
        <f>P2B!E139*2</f>
        <v>0</v>
      </c>
      <c r="F139" s="1548">
        <f>P2B!F139*2</f>
        <v>0</v>
      </c>
      <c r="G139" s="1538">
        <f>P2B!G139*2</f>
        <v>0</v>
      </c>
      <c r="H139" s="1539">
        <f>P2B!H139*2</f>
        <v>468.149226</v>
      </c>
    </row>
    <row r="140" spans="1:8">
      <c r="A140" s="1419" t="s">
        <v>1106</v>
      </c>
      <c r="B140" s="1401" t="s">
        <v>1524</v>
      </c>
      <c r="C140" s="1547">
        <f>P2B!C140*2</f>
        <v>547.10812599999997</v>
      </c>
      <c r="D140" s="1534">
        <f>P2B!D140*2</f>
        <v>0</v>
      </c>
      <c r="E140" s="1534">
        <f>P2B!E140*2</f>
        <v>0</v>
      </c>
      <c r="F140" s="1548">
        <f>P2B!F140*2</f>
        <v>0</v>
      </c>
      <c r="G140" s="1538">
        <f>P2B!G140*2</f>
        <v>0</v>
      </c>
      <c r="H140" s="1539">
        <f>P2B!H140*2</f>
        <v>547.10812599999997</v>
      </c>
    </row>
    <row r="141" spans="1:8">
      <c r="A141" s="1419" t="s">
        <v>1106</v>
      </c>
      <c r="B141" s="1401" t="s">
        <v>1525</v>
      </c>
      <c r="C141" s="1547">
        <f>P2B!C141*2</f>
        <v>99.478037999999998</v>
      </c>
      <c r="D141" s="1534">
        <f>P2B!D141*2</f>
        <v>0</v>
      </c>
      <c r="E141" s="1534">
        <f>P2B!E141*2</f>
        <v>0</v>
      </c>
      <c r="F141" s="1548">
        <f>P2B!F141*2</f>
        <v>0</v>
      </c>
      <c r="G141" s="1538">
        <f>P2B!G141*2</f>
        <v>0</v>
      </c>
      <c r="H141" s="1539">
        <f>P2B!H141*2</f>
        <v>99.478037999999998</v>
      </c>
    </row>
    <row r="142" spans="1:8">
      <c r="A142" s="1419" t="s">
        <v>1106</v>
      </c>
      <c r="B142" s="1401" t="s">
        <v>1526</v>
      </c>
      <c r="C142" s="1547">
        <f>P2B!C142*2</f>
        <v>38.446069999999999</v>
      </c>
      <c r="D142" s="1534">
        <f>P2B!D142*2</f>
        <v>0</v>
      </c>
      <c r="E142" s="1534">
        <f>P2B!E142*2</f>
        <v>0</v>
      </c>
      <c r="F142" s="1548">
        <f>P2B!F142*2</f>
        <v>0</v>
      </c>
      <c r="G142" s="1538">
        <f>P2B!G142*2</f>
        <v>0</v>
      </c>
      <c r="H142" s="1539">
        <f>P2B!H142*2</f>
        <v>38.446069999999999</v>
      </c>
    </row>
    <row r="143" spans="1:8">
      <c r="A143" s="1419" t="s">
        <v>1106</v>
      </c>
      <c r="B143" s="1401" t="s">
        <v>1527</v>
      </c>
      <c r="C143" s="1547">
        <f>P2B!C143*2</f>
        <v>43.351906</v>
      </c>
      <c r="D143" s="1534">
        <f>P2B!D143*2</f>
        <v>0</v>
      </c>
      <c r="E143" s="1534">
        <f>P2B!E143*2</f>
        <v>0</v>
      </c>
      <c r="F143" s="1548">
        <f>P2B!F143*2</f>
        <v>0</v>
      </c>
      <c r="G143" s="1538">
        <f>P2B!G143*2</f>
        <v>0</v>
      </c>
      <c r="H143" s="1539">
        <f>P2B!H143*2</f>
        <v>43.351906</v>
      </c>
    </row>
    <row r="144" spans="1:8">
      <c r="A144" s="1419" t="s">
        <v>1106</v>
      </c>
      <c r="B144" s="1401" t="s">
        <v>1528</v>
      </c>
      <c r="C144" s="1547">
        <f>P2B!C144*2</f>
        <v>244.97335799999999</v>
      </c>
      <c r="D144" s="1534">
        <f>P2B!D144*2</f>
        <v>0</v>
      </c>
      <c r="E144" s="1534">
        <f>P2B!E144*2</f>
        <v>0</v>
      </c>
      <c r="F144" s="1548">
        <f>P2B!F144*2</f>
        <v>0</v>
      </c>
      <c r="G144" s="1538">
        <f>P2B!G144*2</f>
        <v>0</v>
      </c>
      <c r="H144" s="1539">
        <f>P2B!H144*2</f>
        <v>244.97335799999999</v>
      </c>
    </row>
    <row r="145" spans="1:8">
      <c r="A145" s="1419" t="s">
        <v>1106</v>
      </c>
      <c r="B145" s="1401" t="s">
        <v>1529</v>
      </c>
      <c r="C145" s="1547">
        <f>P2B!C145*2</f>
        <v>119.76759</v>
      </c>
      <c r="D145" s="1534">
        <f>P2B!D145*2</f>
        <v>0</v>
      </c>
      <c r="E145" s="1534">
        <f>P2B!E145*2</f>
        <v>0</v>
      </c>
      <c r="F145" s="1548">
        <f>P2B!F145*2</f>
        <v>0</v>
      </c>
      <c r="G145" s="1538">
        <f>P2B!G145*2</f>
        <v>0</v>
      </c>
      <c r="H145" s="1539">
        <f>P2B!H145*2</f>
        <v>119.76759</v>
      </c>
    </row>
    <row r="146" spans="1:8">
      <c r="A146" s="1419" t="s">
        <v>1106</v>
      </c>
      <c r="B146" s="1401" t="s">
        <v>1530</v>
      </c>
      <c r="C146" s="1547">
        <f>P2B!C146*2</f>
        <v>137.36007000000001</v>
      </c>
      <c r="D146" s="1534">
        <f>P2B!D146*2</f>
        <v>0</v>
      </c>
      <c r="E146" s="1534">
        <f>P2B!E146*2</f>
        <v>0</v>
      </c>
      <c r="F146" s="1548">
        <f>P2B!F146*2</f>
        <v>0</v>
      </c>
      <c r="G146" s="1538">
        <f>P2B!G146*2</f>
        <v>0</v>
      </c>
      <c r="H146" s="1539">
        <f>P2B!H146*2</f>
        <v>137.36007000000001</v>
      </c>
    </row>
    <row r="147" spans="1:8">
      <c r="A147" s="1419" t="s">
        <v>1106</v>
      </c>
      <c r="B147" s="1401" t="s">
        <v>1445</v>
      </c>
      <c r="C147" s="1547">
        <f>P2B!C147*2</f>
        <v>265.48709600000001</v>
      </c>
      <c r="D147" s="1534">
        <f>P2B!D147*2</f>
        <v>0</v>
      </c>
      <c r="E147" s="1534">
        <f>P2B!E147*2</f>
        <v>0</v>
      </c>
      <c r="F147" s="1548">
        <f>P2B!F147*2</f>
        <v>0</v>
      </c>
      <c r="G147" s="1538">
        <f>P2B!G147*2</f>
        <v>0</v>
      </c>
      <c r="H147" s="1539">
        <f>P2B!H147*2</f>
        <v>265.48709600000001</v>
      </c>
    </row>
    <row r="148" spans="1:8">
      <c r="A148" s="1419" t="s">
        <v>1106</v>
      </c>
      <c r="B148" s="1401" t="s">
        <v>1446</v>
      </c>
      <c r="C148" s="1547">
        <f>P2B!C148*2</f>
        <v>174.39409599999999</v>
      </c>
      <c r="D148" s="1534">
        <f>P2B!D148*2</f>
        <v>0</v>
      </c>
      <c r="E148" s="1534">
        <f>P2B!E148*2</f>
        <v>0</v>
      </c>
      <c r="F148" s="1548">
        <f>P2B!F148*2</f>
        <v>0</v>
      </c>
      <c r="G148" s="1538">
        <f>P2B!G148*2</f>
        <v>0</v>
      </c>
      <c r="H148" s="1539">
        <f>P2B!H148*2</f>
        <v>174.39409599999999</v>
      </c>
    </row>
    <row r="149" spans="1:8">
      <c r="A149" s="1419" t="s">
        <v>1106</v>
      </c>
      <c r="B149" s="1401" t="s">
        <v>1532</v>
      </c>
      <c r="C149" s="1547">
        <f>P2B!C149*2</f>
        <v>159.480662</v>
      </c>
      <c r="D149" s="1534">
        <f>P2B!D149*2</f>
        <v>0</v>
      </c>
      <c r="E149" s="1534">
        <f>P2B!E149*2</f>
        <v>0</v>
      </c>
      <c r="F149" s="1548">
        <f>P2B!F149*2</f>
        <v>0</v>
      </c>
      <c r="G149" s="1538">
        <f>P2B!G149*2</f>
        <v>0</v>
      </c>
      <c r="H149" s="1539">
        <f>P2B!H149*2</f>
        <v>159.480662</v>
      </c>
    </row>
    <row r="150" spans="1:8">
      <c r="A150" s="1419" t="s">
        <v>1106</v>
      </c>
      <c r="B150" s="1401" t="s">
        <v>1538</v>
      </c>
      <c r="C150" s="1547">
        <f>P2B!C150*2</f>
        <v>439.97738199999998</v>
      </c>
      <c r="D150" s="1534">
        <f>P2B!D150*2</f>
        <v>0</v>
      </c>
      <c r="E150" s="1534">
        <f>P2B!E150*2</f>
        <v>0</v>
      </c>
      <c r="F150" s="1548">
        <f>P2B!F150*2</f>
        <v>0</v>
      </c>
      <c r="G150" s="1538">
        <f>P2B!G150*2</f>
        <v>0</v>
      </c>
      <c r="H150" s="1539">
        <f>P2B!H150*2</f>
        <v>439.97738199999998</v>
      </c>
    </row>
    <row r="151" spans="1:8">
      <c r="A151" s="1419" t="s">
        <v>1106</v>
      </c>
      <c r="B151" s="1401" t="s">
        <v>1533</v>
      </c>
      <c r="C151" s="1547">
        <f>P2B!C151*2</f>
        <v>257.122254</v>
      </c>
      <c r="D151" s="1534">
        <f>P2B!D151*2</f>
        <v>0</v>
      </c>
      <c r="E151" s="1534">
        <f>P2B!E151*2</f>
        <v>0</v>
      </c>
      <c r="F151" s="1548">
        <f>P2B!F151*2</f>
        <v>0</v>
      </c>
      <c r="G151" s="1538">
        <f>P2B!G151*2</f>
        <v>0</v>
      </c>
      <c r="H151" s="1539">
        <f>P2B!H151*2</f>
        <v>257.122254</v>
      </c>
    </row>
    <row r="152" spans="1:8">
      <c r="A152" s="1419" t="s">
        <v>1106</v>
      </c>
      <c r="B152" s="1401" t="s">
        <v>1534</v>
      </c>
      <c r="C152" s="1547">
        <f>P2B!C152*2</f>
        <v>109.57958000000001</v>
      </c>
      <c r="D152" s="1534">
        <f>P2B!D152*2</f>
        <v>0</v>
      </c>
      <c r="E152" s="1534">
        <f>P2B!E152*2</f>
        <v>0</v>
      </c>
      <c r="F152" s="1548">
        <f>P2B!F152*2</f>
        <v>0</v>
      </c>
      <c r="G152" s="1538">
        <f>P2B!G152*2</f>
        <v>0</v>
      </c>
      <c r="H152" s="1539">
        <f>P2B!H152*2</f>
        <v>109.57958000000001</v>
      </c>
    </row>
    <row r="153" spans="1:8">
      <c r="A153" s="1419" t="s">
        <v>1106</v>
      </c>
      <c r="B153" s="1401" t="s">
        <v>1447</v>
      </c>
      <c r="C153" s="1547">
        <f>P2B!C153*2</f>
        <v>212.85363000000001</v>
      </c>
      <c r="D153" s="1534">
        <f>P2B!D153*2</f>
        <v>0</v>
      </c>
      <c r="E153" s="1534">
        <f>P2B!E153*2</f>
        <v>0</v>
      </c>
      <c r="F153" s="1548">
        <f>P2B!F153*2</f>
        <v>0</v>
      </c>
      <c r="G153" s="1538">
        <f>P2B!G153*2</f>
        <v>0</v>
      </c>
      <c r="H153" s="1539">
        <f>P2B!H153*2</f>
        <v>212.85363000000001</v>
      </c>
    </row>
    <row r="154" spans="1:8">
      <c r="A154" s="1419" t="s">
        <v>1106</v>
      </c>
      <c r="B154" s="1401" t="s">
        <v>1535</v>
      </c>
      <c r="C154" s="1547">
        <f>P2B!C154*2</f>
        <v>157.784638</v>
      </c>
      <c r="D154" s="1534">
        <f>P2B!D154*2</f>
        <v>0</v>
      </c>
      <c r="E154" s="1534">
        <f>P2B!E154*2</f>
        <v>0</v>
      </c>
      <c r="F154" s="1548">
        <f>P2B!F154*2</f>
        <v>0</v>
      </c>
      <c r="G154" s="1538">
        <f>P2B!G154*2</f>
        <v>0</v>
      </c>
      <c r="H154" s="1539">
        <f>P2B!H154*2</f>
        <v>157.784638</v>
      </c>
    </row>
    <row r="155" spans="1:8">
      <c r="A155" s="1419" t="s">
        <v>1106</v>
      </c>
      <c r="B155" s="1401" t="s">
        <v>1536</v>
      </c>
      <c r="C155" s="1547">
        <f>P2B!C155*2</f>
        <v>65.256407999999993</v>
      </c>
      <c r="D155" s="1534">
        <f>P2B!D155*2</f>
        <v>0</v>
      </c>
      <c r="E155" s="1534">
        <f>P2B!E155*2</f>
        <v>0</v>
      </c>
      <c r="F155" s="1548">
        <f>P2B!F155*2</f>
        <v>0</v>
      </c>
      <c r="G155" s="1538">
        <f>P2B!G155*2</f>
        <v>0</v>
      </c>
      <c r="H155" s="1539">
        <f>P2B!H155*2</f>
        <v>65.256407999999993</v>
      </c>
    </row>
    <row r="156" spans="1:8">
      <c r="A156" s="1419" t="s">
        <v>1106</v>
      </c>
      <c r="B156" s="1401" t="s">
        <v>1537</v>
      </c>
      <c r="C156" s="1547">
        <f>P2B!C156*2</f>
        <v>448.43276800000001</v>
      </c>
      <c r="D156" s="1534">
        <f>P2B!D156*2</f>
        <v>0</v>
      </c>
      <c r="E156" s="1534">
        <f>P2B!E156*2</f>
        <v>0</v>
      </c>
      <c r="F156" s="1548">
        <f>P2B!F156*2</f>
        <v>0</v>
      </c>
      <c r="G156" s="1538">
        <f>P2B!G156*2</f>
        <v>0</v>
      </c>
      <c r="H156" s="1539">
        <f>P2B!H156*2</f>
        <v>448.43276800000001</v>
      </c>
    </row>
    <row r="157" spans="1:8">
      <c r="A157" s="1419" t="s">
        <v>1106</v>
      </c>
      <c r="B157" s="1401" t="s">
        <v>1448</v>
      </c>
      <c r="C157" s="1547">
        <f>P2B!C157*2</f>
        <v>501.79032999999998</v>
      </c>
      <c r="D157" s="1534">
        <f>P2B!D157*2</f>
        <v>0</v>
      </c>
      <c r="E157" s="1534">
        <f>P2B!E157*2</f>
        <v>0</v>
      </c>
      <c r="F157" s="1548">
        <f>P2B!F157*2</f>
        <v>0</v>
      </c>
      <c r="G157" s="1538">
        <f>P2B!G157*2</f>
        <v>0</v>
      </c>
      <c r="H157" s="1539">
        <f>P2B!H157*2</f>
        <v>501.79032999999998</v>
      </c>
    </row>
    <row r="158" spans="1:8">
      <c r="A158" s="1419" t="s">
        <v>1106</v>
      </c>
      <c r="B158" s="1401" t="s">
        <v>1539</v>
      </c>
      <c r="C158" s="1547">
        <f>P2B!C158*2</f>
        <v>109.04296600000001</v>
      </c>
      <c r="D158" s="1534">
        <f>P2B!D158*2</f>
        <v>0</v>
      </c>
      <c r="E158" s="1534">
        <f>P2B!E158*2</f>
        <v>0</v>
      </c>
      <c r="F158" s="1548">
        <f>P2B!F158*2</f>
        <v>0</v>
      </c>
      <c r="G158" s="1538">
        <f>P2B!G158*2</f>
        <v>0</v>
      </c>
      <c r="H158" s="1539">
        <f>P2B!H158*2</f>
        <v>109.04296600000001</v>
      </c>
    </row>
    <row r="159" spans="1:8">
      <c r="A159" s="1419" t="s">
        <v>1106</v>
      </c>
      <c r="B159" s="1401" t="s">
        <v>1541</v>
      </c>
      <c r="C159" s="1547">
        <f>P2B!C159*2</f>
        <v>70.959338000000002</v>
      </c>
      <c r="D159" s="1534">
        <f>P2B!D159*2</f>
        <v>0</v>
      </c>
      <c r="E159" s="1534">
        <f>P2B!E159*2</f>
        <v>0</v>
      </c>
      <c r="F159" s="1548">
        <f>P2B!F159*2</f>
        <v>0</v>
      </c>
      <c r="G159" s="1538">
        <f>P2B!G159*2</f>
        <v>0</v>
      </c>
      <c r="H159" s="1539">
        <f>P2B!H159*2</f>
        <v>70.959338000000002</v>
      </c>
    </row>
    <row r="160" spans="1:8">
      <c r="A160" s="1419" t="s">
        <v>1106</v>
      </c>
      <c r="B160" s="1401" t="s">
        <v>2270</v>
      </c>
      <c r="C160" s="1547">
        <f>P2B!C160*2</f>
        <v>221.120856</v>
      </c>
      <c r="D160" s="1534">
        <f>P2B!D160*2</f>
        <v>0</v>
      </c>
      <c r="E160" s="1534">
        <f>P2B!E160*2</f>
        <v>0</v>
      </c>
      <c r="F160" s="1548">
        <f>P2B!F160*2</f>
        <v>0</v>
      </c>
      <c r="G160" s="1538">
        <f>P2B!G160*2</f>
        <v>0</v>
      </c>
      <c r="H160" s="1539">
        <f>P2B!H160*2</f>
        <v>221.120856</v>
      </c>
    </row>
    <row r="161" spans="1:8">
      <c r="A161" s="1419" t="s">
        <v>1106</v>
      </c>
      <c r="B161" s="1401" t="s">
        <v>1449</v>
      </c>
      <c r="C161" s="1547">
        <f>P2B!C161*2</f>
        <v>332.11218200000002</v>
      </c>
      <c r="D161" s="1534">
        <f>P2B!D161*2</f>
        <v>0</v>
      </c>
      <c r="E161" s="1534">
        <f>P2B!E161*2</f>
        <v>0</v>
      </c>
      <c r="F161" s="1548">
        <f>P2B!F161*2</f>
        <v>0</v>
      </c>
      <c r="G161" s="1538">
        <f>P2B!G161*2</f>
        <v>0</v>
      </c>
      <c r="H161" s="1539">
        <f>P2B!H161*2</f>
        <v>332.11218200000002</v>
      </c>
    </row>
    <row r="162" spans="1:8">
      <c r="A162" s="1419" t="s">
        <v>1106</v>
      </c>
      <c r="B162" s="1401" t="s">
        <v>1698</v>
      </c>
      <c r="C162" s="1547">
        <f>P2B!C162*2</f>
        <v>209.07081600000001</v>
      </c>
      <c r="D162" s="1534">
        <f>P2B!D162*2</f>
        <v>0</v>
      </c>
      <c r="E162" s="1534">
        <f>P2B!E162*2</f>
        <v>0</v>
      </c>
      <c r="F162" s="1548">
        <f>P2B!F162*2</f>
        <v>0</v>
      </c>
      <c r="G162" s="1538">
        <f>P2B!G162*2</f>
        <v>0</v>
      </c>
      <c r="H162" s="1539">
        <f>P2B!H162*2</f>
        <v>209.07081600000001</v>
      </c>
    </row>
    <row r="163" spans="1:8">
      <c r="A163" s="1419" t="s">
        <v>1106</v>
      </c>
      <c r="B163" s="1401" t="s">
        <v>1699</v>
      </c>
      <c r="C163" s="1547">
        <f>P2B!C163*2</f>
        <v>359.272942</v>
      </c>
      <c r="D163" s="1534">
        <f>P2B!D163*2</f>
        <v>0</v>
      </c>
      <c r="E163" s="1534">
        <f>P2B!E163*2</f>
        <v>0</v>
      </c>
      <c r="F163" s="1548">
        <f>P2B!F163*2</f>
        <v>0</v>
      </c>
      <c r="G163" s="1538">
        <f>P2B!G163*2</f>
        <v>0</v>
      </c>
      <c r="H163" s="1539">
        <f>P2B!H163*2</f>
        <v>359.272942</v>
      </c>
    </row>
    <row r="164" spans="1:8">
      <c r="A164" s="1419" t="s">
        <v>1106</v>
      </c>
      <c r="B164" s="1401" t="s">
        <v>1450</v>
      </c>
      <c r="C164" s="1547">
        <f>P2B!C164*2</f>
        <v>472.69516399999998</v>
      </c>
      <c r="D164" s="1534">
        <f>P2B!D164*2</f>
        <v>0</v>
      </c>
      <c r="E164" s="1534">
        <f>P2B!E164*2</f>
        <v>0</v>
      </c>
      <c r="F164" s="1548">
        <f>P2B!F164*2</f>
        <v>0</v>
      </c>
      <c r="G164" s="1538">
        <f>P2B!G164*2</f>
        <v>0</v>
      </c>
      <c r="H164" s="1539">
        <f>P2B!H164*2</f>
        <v>472.69516399999998</v>
      </c>
    </row>
    <row r="165" spans="1:8">
      <c r="A165" s="1419" t="s">
        <v>1106</v>
      </c>
      <c r="B165" s="1401" t="s">
        <v>1542</v>
      </c>
      <c r="C165" s="1547">
        <f>P2B!C165*2</f>
        <v>233.99784399999999</v>
      </c>
      <c r="D165" s="1534">
        <f>P2B!D165*2</f>
        <v>0</v>
      </c>
      <c r="E165" s="1534">
        <f>P2B!E165*2</f>
        <v>0</v>
      </c>
      <c r="F165" s="1548">
        <f>P2B!F165*2</f>
        <v>0</v>
      </c>
      <c r="G165" s="1538">
        <f>P2B!G165*2</f>
        <v>0</v>
      </c>
      <c r="H165" s="1539">
        <f>P2B!H165*2</f>
        <v>233.99784399999999</v>
      </c>
    </row>
    <row r="166" spans="1:8">
      <c r="A166" s="1419" t="s">
        <v>1106</v>
      </c>
      <c r="B166" s="1401" t="s">
        <v>1700</v>
      </c>
      <c r="C166" s="1547">
        <f>P2B!C166*2</f>
        <v>22.779482000000002</v>
      </c>
      <c r="D166" s="1534">
        <f>P2B!D166*2</f>
        <v>0</v>
      </c>
      <c r="E166" s="1534">
        <f>P2B!E166*2</f>
        <v>0</v>
      </c>
      <c r="F166" s="1548">
        <f>P2B!F166*2</f>
        <v>0</v>
      </c>
      <c r="G166" s="1538">
        <f>P2B!G166*2</f>
        <v>0</v>
      </c>
      <c r="H166" s="1539">
        <f>P2B!H166*2</f>
        <v>22.779482000000002</v>
      </c>
    </row>
    <row r="167" spans="1:8">
      <c r="A167" s="1419" t="s">
        <v>1106</v>
      </c>
      <c r="B167" s="1401" t="s">
        <v>1543</v>
      </c>
      <c r="C167" s="1547">
        <f>P2B!C167*2</f>
        <v>89.506556000000003</v>
      </c>
      <c r="D167" s="1534">
        <f>P2B!D167*2</f>
        <v>0</v>
      </c>
      <c r="E167" s="1534">
        <f>P2B!E167*2</f>
        <v>0</v>
      </c>
      <c r="F167" s="1548">
        <f>P2B!F167*2</f>
        <v>0</v>
      </c>
      <c r="G167" s="1538">
        <f>P2B!G167*2</f>
        <v>0</v>
      </c>
      <c r="H167" s="1539">
        <f>P2B!H167*2</f>
        <v>89.506556000000003</v>
      </c>
    </row>
    <row r="168" spans="1:8">
      <c r="A168" s="1419" t="s">
        <v>1106</v>
      </c>
      <c r="B168" s="1401" t="s">
        <v>1707</v>
      </c>
      <c r="C168" s="1547">
        <f>P2B!C168*2</f>
        <v>280.11779999999999</v>
      </c>
      <c r="D168" s="1534">
        <f>P2B!D168*2</f>
        <v>0</v>
      </c>
      <c r="E168" s="1534">
        <f>P2B!E168*2</f>
        <v>0</v>
      </c>
      <c r="F168" s="1548">
        <f>P2B!F168*2</f>
        <v>0</v>
      </c>
      <c r="G168" s="1538">
        <f>P2B!G168*2</f>
        <v>0</v>
      </c>
      <c r="H168" s="1539">
        <f>P2B!H168*2</f>
        <v>280.11779999999999</v>
      </c>
    </row>
    <row r="169" spans="1:8">
      <c r="A169" s="1419" t="s">
        <v>1106</v>
      </c>
      <c r="B169" s="1401" t="s">
        <v>1708</v>
      </c>
      <c r="C169" s="1547">
        <f>P2B!C169*2</f>
        <v>0</v>
      </c>
      <c r="D169" s="1534">
        <f>P2B!D169*2</f>
        <v>0</v>
      </c>
      <c r="E169" s="1534">
        <f>P2B!E169*2</f>
        <v>0</v>
      </c>
      <c r="F169" s="1548">
        <f>P2B!F169*2</f>
        <v>0</v>
      </c>
      <c r="G169" s="1538">
        <f>P2B!G169*2</f>
        <v>0</v>
      </c>
      <c r="H169" s="1539">
        <f>P2B!H169*2</f>
        <v>0</v>
      </c>
    </row>
    <row r="170" spans="1:8">
      <c r="A170" s="1419" t="s">
        <v>1106</v>
      </c>
      <c r="B170" s="1401" t="s">
        <v>1451</v>
      </c>
      <c r="C170" s="1547">
        <f>P2B!C170*2</f>
        <v>513.27092000000005</v>
      </c>
      <c r="D170" s="1534">
        <f>P2B!D170*2</f>
        <v>0</v>
      </c>
      <c r="E170" s="1534">
        <f>P2B!E170*2</f>
        <v>0</v>
      </c>
      <c r="F170" s="1548">
        <f>P2B!F170*2</f>
        <v>0</v>
      </c>
      <c r="G170" s="1538">
        <f>P2B!G170*2</f>
        <v>0</v>
      </c>
      <c r="H170" s="1539">
        <f>P2B!H170*2</f>
        <v>513.27092000000005</v>
      </c>
    </row>
    <row r="171" spans="1:8">
      <c r="A171" s="1419" t="s">
        <v>1106</v>
      </c>
      <c r="B171" s="1401" t="s">
        <v>1709</v>
      </c>
      <c r="C171" s="1547">
        <f>P2B!C171*2</f>
        <v>0</v>
      </c>
      <c r="D171" s="1534">
        <f>P2B!D171*2</f>
        <v>0</v>
      </c>
      <c r="E171" s="1534">
        <f>P2B!E171*2</f>
        <v>0</v>
      </c>
      <c r="F171" s="1548">
        <f>P2B!F171*2</f>
        <v>0</v>
      </c>
      <c r="G171" s="1538">
        <f>P2B!G171*2</f>
        <v>0</v>
      </c>
      <c r="H171" s="1539">
        <f>P2B!H171*2</f>
        <v>0</v>
      </c>
    </row>
    <row r="172" spans="1:8">
      <c r="A172" s="1419" t="s">
        <v>1106</v>
      </c>
      <c r="B172" s="1401" t="s">
        <v>1546</v>
      </c>
      <c r="C172" s="1547">
        <f>P2B!C172*2</f>
        <v>129.66920400000001</v>
      </c>
      <c r="D172" s="1534">
        <f>P2B!D172*2</f>
        <v>0</v>
      </c>
      <c r="E172" s="1534">
        <f>P2B!E172*2</f>
        <v>0</v>
      </c>
      <c r="F172" s="1548">
        <f>P2B!F172*2</f>
        <v>0</v>
      </c>
      <c r="G172" s="1538">
        <f>P2B!G172*2</f>
        <v>0</v>
      </c>
      <c r="H172" s="1539">
        <f>P2B!H172*2</f>
        <v>129.66920400000001</v>
      </c>
    </row>
    <row r="173" spans="1:8">
      <c r="A173" s="1419" t="s">
        <v>1106</v>
      </c>
      <c r="B173" s="1401" t="s">
        <v>1452</v>
      </c>
      <c r="C173" s="1547">
        <f>P2B!C173*2</f>
        <v>253.825434</v>
      </c>
      <c r="D173" s="1534">
        <f>P2B!D173*2</f>
        <v>0</v>
      </c>
      <c r="E173" s="1534">
        <f>P2B!E173*2</f>
        <v>0</v>
      </c>
      <c r="F173" s="1548">
        <f>P2B!F173*2</f>
        <v>0</v>
      </c>
      <c r="G173" s="1538">
        <f>P2B!G173*2</f>
        <v>0</v>
      </c>
      <c r="H173" s="1539">
        <f>P2B!H173*2</f>
        <v>253.825434</v>
      </c>
    </row>
    <row r="174" spans="1:8">
      <c r="A174" s="1419" t="s">
        <v>1106</v>
      </c>
      <c r="B174" s="1401" t="s">
        <v>1453</v>
      </c>
      <c r="C174" s="1547">
        <f>P2B!C174*2</f>
        <v>200.186566</v>
      </c>
      <c r="D174" s="1534">
        <f>P2B!D174*2</f>
        <v>0</v>
      </c>
      <c r="E174" s="1534">
        <f>P2B!E174*2</f>
        <v>0</v>
      </c>
      <c r="F174" s="1548">
        <f>P2B!F174*2</f>
        <v>0</v>
      </c>
      <c r="G174" s="1538">
        <f>P2B!G174*2</f>
        <v>0</v>
      </c>
      <c r="H174" s="1539">
        <f>P2B!H174*2</f>
        <v>200.186566</v>
      </c>
    </row>
    <row r="175" spans="1:8">
      <c r="A175" s="1419" t="s">
        <v>1106</v>
      </c>
      <c r="B175" s="1401" t="s">
        <v>1547</v>
      </c>
      <c r="C175" s="1547">
        <f>P2B!C175*2</f>
        <v>337.12207599999999</v>
      </c>
      <c r="D175" s="1534">
        <f>P2B!D175*2</f>
        <v>0</v>
      </c>
      <c r="E175" s="1534">
        <f>P2B!E175*2</f>
        <v>0</v>
      </c>
      <c r="F175" s="1548">
        <f>P2B!F175*2</f>
        <v>0</v>
      </c>
      <c r="G175" s="1538">
        <f>P2B!G175*2</f>
        <v>0</v>
      </c>
      <c r="H175" s="1539">
        <f>P2B!H175*2</f>
        <v>337.12207599999999</v>
      </c>
    </row>
    <row r="176" spans="1:8">
      <c r="A176" s="1419" t="s">
        <v>1106</v>
      </c>
      <c r="B176" s="1401" t="s">
        <v>1548</v>
      </c>
      <c r="C176" s="1547">
        <f>P2B!C176*2</f>
        <v>130.82192800000001</v>
      </c>
      <c r="D176" s="1534">
        <f>P2B!D176*2</f>
        <v>0</v>
      </c>
      <c r="E176" s="1534">
        <f>P2B!E176*2</f>
        <v>0</v>
      </c>
      <c r="F176" s="1548">
        <f>P2B!F176*2</f>
        <v>0</v>
      </c>
      <c r="G176" s="1538">
        <f>P2B!G176*2</f>
        <v>0</v>
      </c>
      <c r="H176" s="1539">
        <f>P2B!H176*2</f>
        <v>130.82192800000001</v>
      </c>
    </row>
    <row r="177" spans="1:8">
      <c r="A177" s="1419" t="s">
        <v>1106</v>
      </c>
      <c r="B177" s="1401" t="s">
        <v>1499</v>
      </c>
      <c r="C177" s="1547">
        <f>P2B!C177*2</f>
        <v>270.21331600000002</v>
      </c>
      <c r="D177" s="1534">
        <f>P2B!D177*2</f>
        <v>0</v>
      </c>
      <c r="E177" s="1534">
        <f>P2B!E177*2</f>
        <v>0</v>
      </c>
      <c r="F177" s="1548">
        <f>P2B!F177*2</f>
        <v>0</v>
      </c>
      <c r="G177" s="1538">
        <f>P2B!G177*2</f>
        <v>0</v>
      </c>
      <c r="H177" s="1539">
        <f>P2B!H177*2</f>
        <v>270.21331600000002</v>
      </c>
    </row>
    <row r="178" spans="1:8">
      <c r="A178" s="1419" t="s">
        <v>1106</v>
      </c>
      <c r="B178" s="1401" t="s">
        <v>1500</v>
      </c>
      <c r="C178" s="1547">
        <f>P2B!C178*2</f>
        <v>100.847126</v>
      </c>
      <c r="D178" s="1534">
        <f>P2B!D178*2</f>
        <v>0</v>
      </c>
      <c r="E178" s="1534">
        <f>P2B!E178*2</f>
        <v>0</v>
      </c>
      <c r="F178" s="1548">
        <f>P2B!F178*2</f>
        <v>0</v>
      </c>
      <c r="G178" s="1538">
        <f>P2B!G178*2</f>
        <v>0</v>
      </c>
      <c r="H178" s="1539">
        <f>P2B!H178*2</f>
        <v>100.847126</v>
      </c>
    </row>
    <row r="179" spans="1:8">
      <c r="A179" s="1419" t="s">
        <v>1106</v>
      </c>
      <c r="B179" s="1401" t="s">
        <v>1455</v>
      </c>
      <c r="C179" s="1547">
        <f>P2B!C179*2</f>
        <v>0</v>
      </c>
      <c r="D179" s="1534">
        <f>P2B!D179*2</f>
        <v>0</v>
      </c>
      <c r="E179" s="1534">
        <f>P2B!E179*2</f>
        <v>334.42328400000002</v>
      </c>
      <c r="F179" s="1548">
        <f>P2B!F179*2</f>
        <v>0</v>
      </c>
      <c r="G179" s="1538">
        <f>P2B!G179*2</f>
        <v>0</v>
      </c>
      <c r="H179" s="1539">
        <f>P2B!H179*2</f>
        <v>334.42328400000002</v>
      </c>
    </row>
    <row r="180" spans="1:8">
      <c r="A180" s="1419" t="s">
        <v>1106</v>
      </c>
      <c r="B180" s="1401" t="s">
        <v>1456</v>
      </c>
      <c r="C180" s="1547">
        <f>P2B!C180*2</f>
        <v>0</v>
      </c>
      <c r="D180" s="1534">
        <f>P2B!D180*2</f>
        <v>0</v>
      </c>
      <c r="E180" s="1534">
        <f>P2B!E180*2</f>
        <v>70.256386000000006</v>
      </c>
      <c r="F180" s="1548">
        <f>P2B!F180*2</f>
        <v>0</v>
      </c>
      <c r="G180" s="1538">
        <f>P2B!G180*2</f>
        <v>0</v>
      </c>
      <c r="H180" s="1539">
        <f>P2B!H180*2</f>
        <v>70.256386000000006</v>
      </c>
    </row>
    <row r="181" spans="1:8">
      <c r="A181" s="1419" t="s">
        <v>1106</v>
      </c>
      <c r="B181" s="1401" t="s">
        <v>1502</v>
      </c>
      <c r="C181" s="1547">
        <f>P2B!C181*2</f>
        <v>127.70029</v>
      </c>
      <c r="D181" s="1534">
        <f>P2B!D181*2</f>
        <v>0</v>
      </c>
      <c r="E181" s="1534">
        <f>P2B!E181*2</f>
        <v>0</v>
      </c>
      <c r="F181" s="1548">
        <f>P2B!F181*2</f>
        <v>0</v>
      </c>
      <c r="G181" s="1538">
        <f>P2B!G181*2</f>
        <v>0</v>
      </c>
      <c r="H181" s="1539">
        <f>P2B!H181*2</f>
        <v>127.70029</v>
      </c>
    </row>
    <row r="182" spans="1:8">
      <c r="A182" s="1419" t="s">
        <v>1106</v>
      </c>
      <c r="B182" s="1401" t="s">
        <v>1503</v>
      </c>
      <c r="C182" s="1547">
        <f>P2B!C182*2</f>
        <v>203.54801599999999</v>
      </c>
      <c r="D182" s="1534">
        <f>P2B!D182*2</f>
        <v>0</v>
      </c>
      <c r="E182" s="1534">
        <f>P2B!E182*2</f>
        <v>0</v>
      </c>
      <c r="F182" s="1548">
        <f>P2B!F182*2</f>
        <v>0</v>
      </c>
      <c r="G182" s="1538">
        <f>P2B!G182*2</f>
        <v>0</v>
      </c>
      <c r="H182" s="1539">
        <f>P2B!H182*2</f>
        <v>203.54801599999999</v>
      </c>
    </row>
    <row r="183" spans="1:8">
      <c r="A183" s="1419" t="s">
        <v>1106</v>
      </c>
      <c r="B183" s="1401" t="s">
        <v>1710</v>
      </c>
      <c r="C183" s="1547">
        <f>P2B!C183*2</f>
        <v>0</v>
      </c>
      <c r="D183" s="1534">
        <f>P2B!D183*2</f>
        <v>0</v>
      </c>
      <c r="E183" s="1534">
        <f>P2B!E183*2</f>
        <v>82.670165999999995</v>
      </c>
      <c r="F183" s="1548">
        <f>P2B!F183*2</f>
        <v>0</v>
      </c>
      <c r="G183" s="1538">
        <f>P2B!G183*2</f>
        <v>0</v>
      </c>
      <c r="H183" s="1539">
        <f>P2B!H183*2</f>
        <v>82.670165999999995</v>
      </c>
    </row>
    <row r="184" spans="1:8">
      <c r="A184" s="1419" t="s">
        <v>1106</v>
      </c>
      <c r="B184" s="1401" t="s">
        <v>1510</v>
      </c>
      <c r="C184" s="1547">
        <f>P2B!C184*2</f>
        <v>130.00017</v>
      </c>
      <c r="D184" s="1534">
        <f>P2B!D184*2</f>
        <v>0</v>
      </c>
      <c r="E184" s="1534">
        <f>P2B!E184*2</f>
        <v>0</v>
      </c>
      <c r="F184" s="1548">
        <f>P2B!F184*2</f>
        <v>0</v>
      </c>
      <c r="G184" s="1538">
        <f>P2B!G184*2</f>
        <v>0</v>
      </c>
      <c r="H184" s="1539">
        <f>P2B!H184*2</f>
        <v>130.00017</v>
      </c>
    </row>
    <row r="185" spans="1:8">
      <c r="A185" s="1419" t="s">
        <v>1106</v>
      </c>
      <c r="B185" s="1401" t="s">
        <v>1513</v>
      </c>
      <c r="C185" s="1547">
        <f>P2B!C185*2</f>
        <v>296.18376000000001</v>
      </c>
      <c r="D185" s="1534">
        <f>P2B!D185*2</f>
        <v>0</v>
      </c>
      <c r="E185" s="1534">
        <f>P2B!E185*2</f>
        <v>0</v>
      </c>
      <c r="F185" s="1548">
        <f>P2B!F185*2</f>
        <v>0</v>
      </c>
      <c r="G185" s="1538">
        <f>P2B!G185*2</f>
        <v>0</v>
      </c>
      <c r="H185" s="1539">
        <f>P2B!H185*2</f>
        <v>296.18376000000001</v>
      </c>
    </row>
    <row r="186" spans="1:8">
      <c r="A186" s="1419" t="s">
        <v>1106</v>
      </c>
      <c r="B186" s="1401" t="s">
        <v>1471</v>
      </c>
      <c r="C186" s="1547">
        <f>P2B!C186*2</f>
        <v>0</v>
      </c>
      <c r="D186" s="1534">
        <f>P2B!D186*2</f>
        <v>0</v>
      </c>
      <c r="E186" s="1534">
        <f>P2B!E186*2</f>
        <v>344.51003600000001</v>
      </c>
      <c r="F186" s="1548">
        <f>P2B!F186*2</f>
        <v>0</v>
      </c>
      <c r="G186" s="1538">
        <f>P2B!G186*2</f>
        <v>0</v>
      </c>
      <c r="H186" s="1539">
        <f>P2B!H186*2</f>
        <v>344.51003600000001</v>
      </c>
    </row>
    <row r="187" spans="1:8">
      <c r="A187" s="1419" t="s">
        <v>1106</v>
      </c>
      <c r="B187" s="1401" t="s">
        <v>1426</v>
      </c>
      <c r="C187" s="1547">
        <f>P2B!C187*2</f>
        <v>0</v>
      </c>
      <c r="D187" s="1534">
        <f>P2B!D187*2</f>
        <v>0</v>
      </c>
      <c r="E187" s="1534">
        <f>P2B!E187*2</f>
        <v>418.259952</v>
      </c>
      <c r="F187" s="1548">
        <f>P2B!F187*2</f>
        <v>0</v>
      </c>
      <c r="G187" s="1538">
        <f>P2B!G187*2</f>
        <v>0</v>
      </c>
      <c r="H187" s="1539">
        <f>P2B!H187*2</f>
        <v>418.259952</v>
      </c>
    </row>
    <row r="188" spans="1:8">
      <c r="A188" s="1419" t="s">
        <v>1106</v>
      </c>
      <c r="B188" s="1401" t="s">
        <v>2271</v>
      </c>
      <c r="C188" s="1547">
        <f>P2B!C188*2</f>
        <v>0</v>
      </c>
      <c r="D188" s="1534">
        <f>P2B!D188*2</f>
        <v>0</v>
      </c>
      <c r="E188" s="1534">
        <f>P2B!E188*2</f>
        <v>125.605244</v>
      </c>
      <c r="F188" s="1548">
        <f>P2B!F188*2</f>
        <v>0</v>
      </c>
      <c r="G188" s="1538">
        <f>P2B!G188*2</f>
        <v>0</v>
      </c>
      <c r="H188" s="1539">
        <f>P2B!H188*2</f>
        <v>125.605244</v>
      </c>
    </row>
    <row r="189" spans="1:8">
      <c r="A189" s="1419" t="s">
        <v>1106</v>
      </c>
      <c r="B189" s="1401" t="s">
        <v>1472</v>
      </c>
      <c r="C189" s="1547">
        <f>P2B!C189*2</f>
        <v>0</v>
      </c>
      <c r="D189" s="1534">
        <f>P2B!D189*2</f>
        <v>0</v>
      </c>
      <c r="E189" s="1534">
        <f>P2B!E189*2</f>
        <v>302.33190200000001</v>
      </c>
      <c r="F189" s="1548">
        <f>P2B!F189*2</f>
        <v>0</v>
      </c>
      <c r="G189" s="1538">
        <f>P2B!G189*2</f>
        <v>0</v>
      </c>
      <c r="H189" s="1539">
        <f>P2B!H189*2</f>
        <v>302.33190200000001</v>
      </c>
    </row>
    <row r="190" spans="1:8">
      <c r="A190" s="1419" t="s">
        <v>1106</v>
      </c>
      <c r="B190" s="1401" t="s">
        <v>1442</v>
      </c>
      <c r="C190" s="1547">
        <f>P2B!C190*2</f>
        <v>311.11591600000003</v>
      </c>
      <c r="D190" s="1534">
        <f>P2B!D190*2</f>
        <v>0</v>
      </c>
      <c r="E190" s="1534">
        <f>P2B!E190*2</f>
        <v>0</v>
      </c>
      <c r="F190" s="1548">
        <f>P2B!F190*2</f>
        <v>0</v>
      </c>
      <c r="G190" s="1538">
        <f>P2B!G190*2</f>
        <v>0</v>
      </c>
      <c r="H190" s="1539">
        <f>P2B!H190*2</f>
        <v>311.11591600000003</v>
      </c>
    </row>
    <row r="191" spans="1:8">
      <c r="A191" s="1419" t="s">
        <v>1106</v>
      </c>
      <c r="B191" s="1401" t="s">
        <v>1518</v>
      </c>
      <c r="C191" s="1547">
        <f>P2B!C191*2</f>
        <v>252.08052000000001</v>
      </c>
      <c r="D191" s="1534">
        <f>P2B!D191*2</f>
        <v>0</v>
      </c>
      <c r="E191" s="1534">
        <f>P2B!E191*2</f>
        <v>0</v>
      </c>
      <c r="F191" s="1548">
        <f>P2B!F191*2</f>
        <v>0</v>
      </c>
      <c r="G191" s="1538">
        <f>P2B!G191*2</f>
        <v>0</v>
      </c>
      <c r="H191" s="1539">
        <f>P2B!H191*2</f>
        <v>252.08052000000001</v>
      </c>
    </row>
    <row r="192" spans="1:8">
      <c r="A192" s="1419" t="s">
        <v>1106</v>
      </c>
      <c r="B192" s="1401" t="s">
        <v>1429</v>
      </c>
      <c r="C192" s="1547">
        <f>P2B!C192*2</f>
        <v>0</v>
      </c>
      <c r="D192" s="1534">
        <f>P2B!D192*2</f>
        <v>0</v>
      </c>
      <c r="E192" s="1534">
        <f>P2B!E192*2</f>
        <v>397.85380600000002</v>
      </c>
      <c r="F192" s="1548">
        <f>P2B!F192*2</f>
        <v>0</v>
      </c>
      <c r="G192" s="1538">
        <f>P2B!G192*2</f>
        <v>0</v>
      </c>
      <c r="H192" s="1539">
        <f>P2B!H192*2</f>
        <v>397.85380600000002</v>
      </c>
    </row>
    <row r="193" spans="1:8">
      <c r="A193" s="1419" t="s">
        <v>1106</v>
      </c>
      <c r="B193" s="1401" t="s">
        <v>1481</v>
      </c>
      <c r="C193" s="1547">
        <f>P2B!C193*2</f>
        <v>0</v>
      </c>
      <c r="D193" s="1534">
        <f>P2B!D193*2</f>
        <v>0</v>
      </c>
      <c r="E193" s="1534">
        <f>P2B!E193*2</f>
        <v>238.45198600000001</v>
      </c>
      <c r="F193" s="1548">
        <f>P2B!F193*2</f>
        <v>0</v>
      </c>
      <c r="G193" s="1538">
        <f>P2B!G193*2</f>
        <v>0</v>
      </c>
      <c r="H193" s="1539">
        <f>P2B!H193*2</f>
        <v>238.45198600000001</v>
      </c>
    </row>
    <row r="194" spans="1:8">
      <c r="A194" s="1419" t="s">
        <v>1106</v>
      </c>
      <c r="B194" s="1401" t="s">
        <v>1531</v>
      </c>
      <c r="C194" s="1547">
        <f>P2B!C194*2</f>
        <v>532.51787999999999</v>
      </c>
      <c r="D194" s="1534">
        <f>P2B!D194*2</f>
        <v>0</v>
      </c>
      <c r="E194" s="1534">
        <f>P2B!E194*2</f>
        <v>0</v>
      </c>
      <c r="F194" s="1548">
        <f>P2B!F194*2</f>
        <v>0</v>
      </c>
      <c r="G194" s="1538">
        <f>P2B!G194*2</f>
        <v>0</v>
      </c>
      <c r="H194" s="1539">
        <f>P2B!H194*2</f>
        <v>532.51787999999999</v>
      </c>
    </row>
    <row r="195" spans="1:8">
      <c r="A195" s="1419" t="s">
        <v>1106</v>
      </c>
      <c r="B195" s="1401" t="s">
        <v>1484</v>
      </c>
      <c r="C195" s="1547">
        <f>P2B!C195*2</f>
        <v>0</v>
      </c>
      <c r="D195" s="1534">
        <f>P2B!D195*2</f>
        <v>0</v>
      </c>
      <c r="E195" s="1534">
        <f>P2B!E195*2</f>
        <v>436.64676200000002</v>
      </c>
      <c r="F195" s="1548">
        <f>P2B!F195*2</f>
        <v>0</v>
      </c>
      <c r="G195" s="1538">
        <f>P2B!G195*2</f>
        <v>0</v>
      </c>
      <c r="H195" s="1539">
        <f>P2B!H195*2</f>
        <v>436.64676200000002</v>
      </c>
    </row>
    <row r="196" spans="1:8">
      <c r="A196" s="1419" t="s">
        <v>1106</v>
      </c>
      <c r="B196" s="1401" t="s">
        <v>1487</v>
      </c>
      <c r="C196" s="1547">
        <f>P2B!C196*2</f>
        <v>0</v>
      </c>
      <c r="D196" s="1534">
        <f>P2B!D196*2</f>
        <v>0</v>
      </c>
      <c r="E196" s="1534">
        <f>P2B!E196*2</f>
        <v>309.08514200000002</v>
      </c>
      <c r="F196" s="1548">
        <f>P2B!F196*2</f>
        <v>0</v>
      </c>
      <c r="G196" s="1538">
        <f>P2B!G196*2</f>
        <v>0</v>
      </c>
      <c r="H196" s="1539">
        <f>P2B!H196*2</f>
        <v>309.08514200000002</v>
      </c>
    </row>
    <row r="197" spans="1:8">
      <c r="A197" s="1419" t="s">
        <v>1106</v>
      </c>
      <c r="B197" s="1401" t="s">
        <v>1488</v>
      </c>
      <c r="C197" s="1547">
        <f>P2B!C197*2</f>
        <v>0</v>
      </c>
      <c r="D197" s="1534">
        <f>P2B!D197*2</f>
        <v>0</v>
      </c>
      <c r="E197" s="1534">
        <f>P2B!E197*2</f>
        <v>113.95647599999999</v>
      </c>
      <c r="F197" s="1548">
        <f>P2B!F197*2</f>
        <v>0</v>
      </c>
      <c r="G197" s="1538">
        <f>P2B!G197*2</f>
        <v>0</v>
      </c>
      <c r="H197" s="1539">
        <f>P2B!H197*2</f>
        <v>113.95647599999999</v>
      </c>
    </row>
    <row r="198" spans="1:8">
      <c r="A198" s="1419" t="s">
        <v>1106</v>
      </c>
      <c r="B198" s="1401" t="s">
        <v>1711</v>
      </c>
      <c r="C198" s="1547">
        <f>P2B!C198*2</f>
        <v>102.23916199999999</v>
      </c>
      <c r="D198" s="1534">
        <f>P2B!D198*2</f>
        <v>0</v>
      </c>
      <c r="E198" s="1534">
        <f>P2B!E198*2</f>
        <v>0</v>
      </c>
      <c r="F198" s="1548">
        <f>P2B!F198*2</f>
        <v>0</v>
      </c>
      <c r="G198" s="1538">
        <f>P2B!G198*2</f>
        <v>0</v>
      </c>
      <c r="H198" s="1539">
        <f>P2B!H198*2</f>
        <v>102.23916199999999</v>
      </c>
    </row>
    <row r="199" spans="1:8">
      <c r="A199" s="1419" t="s">
        <v>1106</v>
      </c>
      <c r="B199" s="1401" t="s">
        <v>1712</v>
      </c>
      <c r="C199" s="1547">
        <f>P2B!C199*2</f>
        <v>0</v>
      </c>
      <c r="D199" s="1534">
        <f>P2B!D199*2</f>
        <v>0</v>
      </c>
      <c r="E199" s="1534">
        <f>P2B!E199*2</f>
        <v>77.113</v>
      </c>
      <c r="F199" s="1548">
        <f>P2B!F199*2</f>
        <v>0</v>
      </c>
      <c r="G199" s="1538">
        <f>P2B!G199*2</f>
        <v>0</v>
      </c>
      <c r="H199" s="1539">
        <f>P2B!H199*2</f>
        <v>77.113</v>
      </c>
    </row>
    <row r="200" spans="1:8">
      <c r="A200" s="1419" t="s">
        <v>1106</v>
      </c>
      <c r="B200" s="1401" t="s">
        <v>1713</v>
      </c>
      <c r="C200" s="1547">
        <f>P2B!C200*2</f>
        <v>0</v>
      </c>
      <c r="D200" s="1534">
        <f>P2B!D200*2</f>
        <v>0</v>
      </c>
      <c r="E200" s="1534">
        <f>P2B!E200*2</f>
        <v>102.84452</v>
      </c>
      <c r="F200" s="1548">
        <f>P2B!F200*2</f>
        <v>0</v>
      </c>
      <c r="G200" s="1538">
        <f>P2B!G200*2</f>
        <v>0</v>
      </c>
      <c r="H200" s="1539">
        <f>P2B!H200*2</f>
        <v>102.84452</v>
      </c>
    </row>
    <row r="201" spans="1:8">
      <c r="A201" s="1419" t="s">
        <v>1106</v>
      </c>
      <c r="B201" s="1401" t="s">
        <v>1545</v>
      </c>
      <c r="C201" s="1547">
        <f>P2B!C201*2</f>
        <v>115.85805000000001</v>
      </c>
      <c r="D201" s="1534">
        <f>P2B!D201*2</f>
        <v>0</v>
      </c>
      <c r="E201" s="1534">
        <f>P2B!E201*2</f>
        <v>0</v>
      </c>
      <c r="F201" s="1548">
        <f>P2B!F201*2</f>
        <v>0</v>
      </c>
      <c r="G201" s="1538">
        <f>P2B!G201*2</f>
        <v>0</v>
      </c>
      <c r="H201" s="1539">
        <f>P2B!H201*2</f>
        <v>115.85805000000001</v>
      </c>
    </row>
    <row r="202" spans="1:8">
      <c r="A202" s="1419" t="s">
        <v>1106</v>
      </c>
      <c r="B202" s="1401" t="s">
        <v>1501</v>
      </c>
      <c r="C202" s="1547">
        <f>P2B!C202*2</f>
        <v>67.294768000000005</v>
      </c>
      <c r="D202" s="1534">
        <f>P2B!D202*2</f>
        <v>0</v>
      </c>
      <c r="E202" s="1534">
        <f>P2B!E202*2</f>
        <v>0</v>
      </c>
      <c r="F202" s="1548">
        <f>P2B!F202*2</f>
        <v>0</v>
      </c>
      <c r="G202" s="1538">
        <f>P2B!G202*2</f>
        <v>0</v>
      </c>
      <c r="H202" s="1539">
        <f>P2B!H202*2</f>
        <v>67.294768000000005</v>
      </c>
    </row>
    <row r="203" spans="1:8">
      <c r="A203" s="1419" t="s">
        <v>1106</v>
      </c>
      <c r="B203" s="1401" t="s">
        <v>1443</v>
      </c>
      <c r="C203" s="1547">
        <f>P2B!C203*2</f>
        <v>258.26324799999998</v>
      </c>
      <c r="D203" s="1534">
        <f>P2B!D203*2</f>
        <v>0</v>
      </c>
      <c r="E203" s="1534">
        <f>P2B!E203*2</f>
        <v>0</v>
      </c>
      <c r="F203" s="1548">
        <f>P2B!F203*2</f>
        <v>0</v>
      </c>
      <c r="G203" s="1538">
        <f>P2B!G203*2</f>
        <v>0</v>
      </c>
      <c r="H203" s="1539">
        <f>P2B!H203*2</f>
        <v>258.26324799999998</v>
      </c>
    </row>
    <row r="204" spans="1:8">
      <c r="A204" s="1419" t="s">
        <v>1106</v>
      </c>
      <c r="B204" s="1401" t="s">
        <v>1523</v>
      </c>
      <c r="C204" s="1547">
        <f>P2B!C204*2</f>
        <v>187.11780400000001</v>
      </c>
      <c r="D204" s="1534">
        <f>P2B!D204*2</f>
        <v>0</v>
      </c>
      <c r="E204" s="1534">
        <f>P2B!E204*2</f>
        <v>0</v>
      </c>
      <c r="F204" s="1548">
        <f>P2B!F204*2</f>
        <v>0</v>
      </c>
      <c r="G204" s="1538">
        <f>P2B!G204*2</f>
        <v>0</v>
      </c>
      <c r="H204" s="1539">
        <f>P2B!H204*2</f>
        <v>187.11780400000001</v>
      </c>
    </row>
    <row r="205" spans="1:8">
      <c r="A205" s="1419" t="s">
        <v>1106</v>
      </c>
      <c r="B205" s="1401" t="s">
        <v>1540</v>
      </c>
      <c r="C205" s="1547">
        <f>P2B!C205*2</f>
        <v>73.918772000000004</v>
      </c>
      <c r="D205" s="1534">
        <f>P2B!D205*2</f>
        <v>0</v>
      </c>
      <c r="E205" s="1534">
        <f>P2B!E205*2</f>
        <v>0</v>
      </c>
      <c r="F205" s="1548">
        <f>P2B!F205*2</f>
        <v>0</v>
      </c>
      <c r="G205" s="1538">
        <f>P2B!G205*2</f>
        <v>0</v>
      </c>
      <c r="H205" s="1539">
        <f>P2B!H205*2</f>
        <v>73.918772000000004</v>
      </c>
    </row>
    <row r="206" spans="1:8">
      <c r="A206" s="1419" t="s">
        <v>1106</v>
      </c>
      <c r="B206" s="1401" t="s">
        <v>1714</v>
      </c>
      <c r="C206" s="1547">
        <f>P2B!C206*2</f>
        <v>177.72498400000001</v>
      </c>
      <c r="D206" s="1534">
        <f>P2B!D206*2</f>
        <v>0</v>
      </c>
      <c r="E206" s="1534">
        <f>P2B!E206*2</f>
        <v>0</v>
      </c>
      <c r="F206" s="1548">
        <f>P2B!F206*2</f>
        <v>0</v>
      </c>
      <c r="G206" s="1538">
        <f>P2B!G206*2</f>
        <v>0</v>
      </c>
      <c r="H206" s="1539">
        <f>P2B!H206*2</f>
        <v>177.72498400000001</v>
      </c>
    </row>
    <row r="207" spans="1:8" ht="15.75" customHeight="1">
      <c r="A207" s="1419" t="s">
        <v>1106</v>
      </c>
      <c r="B207" s="1401" t="s">
        <v>1544</v>
      </c>
      <c r="C207" s="1547">
        <f>P2B!C207*2</f>
        <v>431.27990999999997</v>
      </c>
      <c r="D207" s="1534">
        <f>P2B!D207*2</f>
        <v>0</v>
      </c>
      <c r="E207" s="1534">
        <f>P2B!E207*2</f>
        <v>0</v>
      </c>
      <c r="F207" s="1548">
        <f>P2B!F207*2</f>
        <v>0</v>
      </c>
      <c r="G207" s="1538">
        <f>P2B!G207*2</f>
        <v>0</v>
      </c>
      <c r="H207" s="1539">
        <f>P2B!H207*2</f>
        <v>431.27990999999997</v>
      </c>
    </row>
    <row r="208" spans="1:8" ht="15.75" thickBot="1">
      <c r="A208" s="1419" t="s">
        <v>1106</v>
      </c>
      <c r="B208" s="1401" t="s">
        <v>1718</v>
      </c>
      <c r="C208" s="1549">
        <f>P2B!C208*2</f>
        <v>91.701198000000005</v>
      </c>
      <c r="D208" s="1550">
        <f>P2B!D208*2</f>
        <v>0</v>
      </c>
      <c r="E208" s="1550">
        <f>P2B!E208*2</f>
        <v>0</v>
      </c>
      <c r="F208" s="1551">
        <f>P2B!F208*2</f>
        <v>0</v>
      </c>
      <c r="G208" s="1553">
        <f>P2B!G208*2</f>
        <v>0</v>
      </c>
      <c r="H208" s="1539">
        <f>P2B!H208*2</f>
        <v>91.701198000000005</v>
      </c>
    </row>
    <row r="209" spans="1:8" ht="15.75" thickBot="1">
      <c r="A209" s="1421" t="s">
        <v>1549</v>
      </c>
      <c r="B209" s="1422" t="s">
        <v>1550</v>
      </c>
      <c r="C209" s="1554">
        <f>P2B!C209*2</f>
        <v>17965.739890000001</v>
      </c>
      <c r="D209" s="1554">
        <f>P2B!D209*2</f>
        <v>94.968832000000006</v>
      </c>
      <c r="E209" s="1554">
        <f>P2B!E209*2</f>
        <v>20356.237175999999</v>
      </c>
      <c r="F209" s="1554">
        <f>P2B!F209*2</f>
        <v>50.924627999999998</v>
      </c>
      <c r="G209" s="1555">
        <f>P2B!G209*2</f>
        <v>939.92947000000004</v>
      </c>
      <c r="H209" s="1541">
        <f>P2B!H209*2</f>
        <v>39407.799996000002</v>
      </c>
    </row>
    <row r="210" spans="1:8" ht="15.75" thickBot="1">
      <c r="A210" s="2361" t="s">
        <v>1715</v>
      </c>
      <c r="B210" s="2362"/>
      <c r="C210" s="2378"/>
      <c r="D210" s="2378"/>
      <c r="E210" s="2378"/>
      <c r="F210" s="2378"/>
      <c r="G210" s="2379"/>
      <c r="H210" s="1556">
        <f>P2B!H210*2</f>
        <v>2.6910120000000002</v>
      </c>
    </row>
    <row r="211" spans="1:8" ht="15.75" thickBot="1">
      <c r="A211" s="1423" t="s">
        <v>1025</v>
      </c>
      <c r="B211" s="1412"/>
      <c r="C211" s="1412"/>
      <c r="D211" s="1412"/>
      <c r="E211" s="1412"/>
      <c r="F211" s="1412"/>
      <c r="G211" s="1412"/>
      <c r="H211" s="1541">
        <f>P2B!H211*2</f>
        <v>39410.491007999997</v>
      </c>
    </row>
  </sheetData>
  <mergeCells count="12">
    <mergeCell ref="E6:F6"/>
    <mergeCell ref="A210:G210"/>
    <mergeCell ref="A1:H1"/>
    <mergeCell ref="A2:H2"/>
    <mergeCell ref="A3:H3"/>
    <mergeCell ref="A4:H4"/>
    <mergeCell ref="A5:A7"/>
    <mergeCell ref="B5:B7"/>
    <mergeCell ref="C5:F5"/>
    <mergeCell ref="G5:G7"/>
    <mergeCell ref="H5:H7"/>
    <mergeCell ref="C6:D6"/>
  </mergeCells>
  <conditionalFormatting sqref="I1:I1048576">
    <cfRule type="duplicateValues" dxfId="3" priority="1"/>
  </conditionalFormatting>
  <pageMargins left="0.7" right="0.7" top="0.75" bottom="0.75" header="0.3" footer="0.3"/>
  <pageSetup scale="65"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11"/>
  <sheetViews>
    <sheetView view="pageBreakPreview" zoomScale="60" zoomScaleNormal="100" workbookViewId="0">
      <selection activeCell="H13" sqref="H13"/>
    </sheetView>
  </sheetViews>
  <sheetFormatPr defaultRowHeight="16.5"/>
  <cols>
    <col min="1" max="1" width="22" style="1430" customWidth="1"/>
    <col min="2" max="2" width="31.28515625" style="1430" customWidth="1"/>
    <col min="3" max="3" width="11" style="1430" customWidth="1"/>
    <col min="4" max="4" width="9" style="1430" customWidth="1"/>
    <col min="5" max="5" width="11" style="1430" customWidth="1"/>
    <col min="6" max="6" width="9" style="1430" customWidth="1"/>
    <col min="7" max="7" width="20.5703125" style="1430" customWidth="1"/>
    <col min="8" max="8" width="20.42578125" style="1430" customWidth="1"/>
    <col min="9" max="9" width="28" style="1430" customWidth="1"/>
    <col min="10" max="16384" width="9.140625" style="1430"/>
  </cols>
  <sheetData>
    <row r="1" spans="1:8" ht="27" customHeight="1" thickBot="1">
      <c r="A1" s="2380" t="s">
        <v>2273</v>
      </c>
      <c r="B1" s="2385"/>
      <c r="C1" s="2385"/>
      <c r="D1" s="2385"/>
      <c r="E1" s="2385"/>
      <c r="F1" s="2385"/>
      <c r="G1" s="2385"/>
      <c r="H1" s="2381"/>
    </row>
    <row r="2" spans="1:8" ht="15.75" customHeight="1" thickBot="1">
      <c r="A2" s="2386" t="s">
        <v>1696</v>
      </c>
      <c r="B2" s="2387"/>
      <c r="C2" s="2387"/>
      <c r="D2" s="2387"/>
      <c r="E2" s="2387"/>
      <c r="F2" s="2387"/>
      <c r="G2" s="2387"/>
      <c r="H2" s="2388"/>
    </row>
    <row r="3" spans="1:8" ht="15" customHeight="1">
      <c r="A3" s="2389" t="s">
        <v>1098</v>
      </c>
      <c r="B3" s="2390"/>
      <c r="C3" s="2390"/>
      <c r="D3" s="2390"/>
      <c r="E3" s="2390"/>
      <c r="F3" s="2390"/>
      <c r="G3" s="2390"/>
      <c r="H3" s="2391"/>
    </row>
    <row r="4" spans="1:8" ht="15.75" customHeight="1" thickBot="1">
      <c r="A4" s="2392" t="s">
        <v>1099</v>
      </c>
      <c r="B4" s="2393"/>
      <c r="C4" s="2393"/>
      <c r="D4" s="2393"/>
      <c r="E4" s="2393"/>
      <c r="F4" s="2393"/>
      <c r="G4" s="2393"/>
      <c r="H4" s="2394"/>
    </row>
    <row r="5" spans="1:8" ht="15.75" customHeight="1" thickBot="1">
      <c r="A5" s="2395" t="s">
        <v>456</v>
      </c>
      <c r="B5" s="2397" t="s">
        <v>434</v>
      </c>
      <c r="C5" s="2399" t="s">
        <v>435</v>
      </c>
      <c r="D5" s="2400"/>
      <c r="E5" s="2400"/>
      <c r="F5" s="2401"/>
      <c r="G5" s="2395" t="s">
        <v>1697</v>
      </c>
      <c r="H5" s="2395" t="s">
        <v>1100</v>
      </c>
    </row>
    <row r="6" spans="1:8" ht="15.75" customHeight="1" thickBot="1">
      <c r="A6" s="2396"/>
      <c r="B6" s="2398"/>
      <c r="C6" s="2380" t="s">
        <v>1101</v>
      </c>
      <c r="D6" s="2385"/>
      <c r="E6" s="2380" t="s">
        <v>1102</v>
      </c>
      <c r="F6" s="2381"/>
      <c r="G6" s="2396"/>
      <c r="H6" s="2396"/>
    </row>
    <row r="7" spans="1:8" ht="30.75" thickBot="1">
      <c r="A7" s="2396"/>
      <c r="B7" s="2398"/>
      <c r="C7" s="1431" t="s">
        <v>1103</v>
      </c>
      <c r="D7" s="1431" t="s">
        <v>1104</v>
      </c>
      <c r="E7" s="1431" t="s">
        <v>1105</v>
      </c>
      <c r="F7" s="1432" t="s">
        <v>1104</v>
      </c>
      <c r="G7" s="2402"/>
      <c r="H7" s="2396"/>
    </row>
    <row r="8" spans="1:8" ht="17.25" thickBot="1">
      <c r="A8" s="1433" t="s">
        <v>363</v>
      </c>
      <c r="B8" s="1434" t="s">
        <v>972</v>
      </c>
      <c r="C8" s="1435" t="s">
        <v>972</v>
      </c>
      <c r="D8" s="1436" t="s">
        <v>972</v>
      </c>
      <c r="E8" s="1436" t="s">
        <v>972</v>
      </c>
      <c r="F8" s="1437" t="s">
        <v>972</v>
      </c>
      <c r="G8" s="1438"/>
      <c r="H8" s="1439" t="s">
        <v>972</v>
      </c>
    </row>
    <row r="9" spans="1:8" ht="17.25" thickBot="1">
      <c r="A9" s="1440"/>
      <c r="B9" s="1441"/>
      <c r="C9" s="1442"/>
      <c r="D9" s="1443"/>
      <c r="E9" s="1443"/>
      <c r="F9" s="1444"/>
      <c r="G9" s="1445"/>
      <c r="H9" s="1446"/>
    </row>
    <row r="10" spans="1:8">
      <c r="A10" s="1447" t="s">
        <v>965</v>
      </c>
      <c r="B10" s="1430" t="s">
        <v>1421</v>
      </c>
      <c r="C10" s="1557">
        <f>P2B!C10*2*1.1</f>
        <v>0</v>
      </c>
      <c r="D10" s="1558">
        <f>P2B!D10*2*1.1</f>
        <v>0</v>
      </c>
      <c r="E10" s="1558">
        <f>P2B!E10*2*1.1</f>
        <v>0</v>
      </c>
      <c r="F10" s="1559">
        <f>P2B!F10*2*1.1</f>
        <v>0</v>
      </c>
      <c r="G10" s="1559">
        <f>P2B!G10*2*1.1</f>
        <v>38.979489999999998</v>
      </c>
      <c r="H10" s="1560">
        <f>P2B!H10*2*1.1</f>
        <v>38.979489999999998</v>
      </c>
    </row>
    <row r="11" spans="1:8">
      <c r="A11" s="1448" t="s">
        <v>965</v>
      </c>
      <c r="B11" s="1430" t="s">
        <v>1420</v>
      </c>
      <c r="C11" s="1561">
        <f>P2B!C11*2*1.1</f>
        <v>0</v>
      </c>
      <c r="D11" s="1558">
        <f>P2B!D11*2*1.1</f>
        <v>0</v>
      </c>
      <c r="E11" s="1558">
        <f>P2B!E11*2*1.1</f>
        <v>101.91778960000001</v>
      </c>
      <c r="F11" s="1559">
        <f>P2B!F11*2*1.1</f>
        <v>0</v>
      </c>
      <c r="G11" s="1559">
        <f>P2B!G11*2*1.1</f>
        <v>0</v>
      </c>
      <c r="H11" s="1560">
        <f>P2B!H11*2*1.1</f>
        <v>101.91778960000001</v>
      </c>
    </row>
    <row r="12" spans="1:8">
      <c r="A12" s="1448" t="s">
        <v>965</v>
      </c>
      <c r="B12" s="1430" t="s">
        <v>1422</v>
      </c>
      <c r="C12" s="1561">
        <f>P2B!C12*2*1.1</f>
        <v>0</v>
      </c>
      <c r="D12" s="1558">
        <f>P2B!D12*2*1.1</f>
        <v>0</v>
      </c>
      <c r="E12" s="1558">
        <f>P2B!E12*2*1.1</f>
        <v>40.620381999999999</v>
      </c>
      <c r="F12" s="1559">
        <f>P2B!F12*2*1.1</f>
        <v>0</v>
      </c>
      <c r="G12" s="1559">
        <f>P2B!G12*2*1.1</f>
        <v>0</v>
      </c>
      <c r="H12" s="1560">
        <f>P2B!H12*2*1.1</f>
        <v>40.620381999999999</v>
      </c>
    </row>
    <row r="13" spans="1:8">
      <c r="A13" s="1448" t="s">
        <v>965</v>
      </c>
      <c r="B13" s="1430" t="s">
        <v>1423</v>
      </c>
      <c r="C13" s="1561">
        <f>P2B!C13*2*1.1</f>
        <v>0</v>
      </c>
      <c r="D13" s="1558">
        <f>P2B!D13*2*1.1</f>
        <v>0</v>
      </c>
      <c r="E13" s="1558">
        <f>P2B!E13*2*1.1</f>
        <v>0</v>
      </c>
      <c r="F13" s="1559">
        <f>P2B!F13*2*1.1</f>
        <v>0</v>
      </c>
      <c r="G13" s="1559">
        <f>P2B!G13*2*1.1</f>
        <v>63.171660200000005</v>
      </c>
      <c r="H13" s="1560">
        <f>P2B!H13*2*1.1</f>
        <v>63.171660200000005</v>
      </c>
    </row>
    <row r="14" spans="1:8">
      <c r="A14" s="1448" t="s">
        <v>965</v>
      </c>
      <c r="B14" s="1430" t="s">
        <v>1424</v>
      </c>
      <c r="C14" s="1561">
        <f>P2B!C14*2*1.1</f>
        <v>0</v>
      </c>
      <c r="D14" s="1558">
        <f>P2B!D14*2*1.1</f>
        <v>0</v>
      </c>
      <c r="E14" s="1558">
        <f>P2B!E14*2*1.1</f>
        <v>0</v>
      </c>
      <c r="F14" s="1559">
        <f>P2B!F14*2*1.1</f>
        <v>0</v>
      </c>
      <c r="G14" s="1559">
        <f>P2B!G14*2*1.1</f>
        <v>43.704210000000003</v>
      </c>
      <c r="H14" s="1560">
        <f>P2B!H14*2*1.1</f>
        <v>43.704210000000003</v>
      </c>
    </row>
    <row r="15" spans="1:8">
      <c r="A15" s="1448" t="s">
        <v>965</v>
      </c>
      <c r="B15" s="1430" t="s">
        <v>1425</v>
      </c>
      <c r="C15" s="1561">
        <f>P2B!C15*2*1.1</f>
        <v>0</v>
      </c>
      <c r="D15" s="1558">
        <f>P2B!D15*2*1.1</f>
        <v>0</v>
      </c>
      <c r="E15" s="1558">
        <f>P2B!E15*2*1.1</f>
        <v>0</v>
      </c>
      <c r="F15" s="1559">
        <f>P2B!F15*2*1.1</f>
        <v>0</v>
      </c>
      <c r="G15" s="1559">
        <f>P2B!G15*2*1.1</f>
        <v>39.869588000000007</v>
      </c>
      <c r="H15" s="1560">
        <f>P2B!H15*2*1.1</f>
        <v>39.869588000000007</v>
      </c>
    </row>
    <row r="16" spans="1:8">
      <c r="A16" s="1448" t="s">
        <v>965</v>
      </c>
      <c r="B16" s="1430" t="s">
        <v>1427</v>
      </c>
      <c r="C16" s="1561">
        <f>P2B!C16*2*1.1</f>
        <v>0</v>
      </c>
      <c r="D16" s="1558">
        <f>P2B!D16*2*1.1</f>
        <v>0</v>
      </c>
      <c r="E16" s="1558">
        <f>P2B!E16*2*1.1</f>
        <v>0</v>
      </c>
      <c r="F16" s="1559">
        <f>P2B!F16*2*1.1</f>
        <v>0</v>
      </c>
      <c r="G16" s="1559">
        <f>P2B!G16*2*1.1</f>
        <v>16.850130000000004</v>
      </c>
      <c r="H16" s="1560">
        <f>P2B!H16*2*1.1</f>
        <v>16.850130000000004</v>
      </c>
    </row>
    <row r="17" spans="1:8">
      <c r="A17" s="1448" t="s">
        <v>965</v>
      </c>
      <c r="B17" s="1430" t="s">
        <v>1428</v>
      </c>
      <c r="C17" s="1561">
        <f>P2B!C17*2*1.1</f>
        <v>0</v>
      </c>
      <c r="D17" s="1558">
        <f>P2B!D17*2*1.1</f>
        <v>0</v>
      </c>
      <c r="E17" s="1558">
        <f>P2B!E17*2*1.1</f>
        <v>0</v>
      </c>
      <c r="F17" s="1559">
        <f>P2B!F17*2*1.1</f>
        <v>0</v>
      </c>
      <c r="G17" s="1559">
        <f>P2B!G17*2*1.1</f>
        <v>32.147544000000003</v>
      </c>
      <c r="H17" s="1560">
        <f>P2B!H17*2*1.1</f>
        <v>32.147544000000003</v>
      </c>
    </row>
    <row r="18" spans="1:8">
      <c r="A18" s="1448" t="s">
        <v>965</v>
      </c>
      <c r="B18" s="1430" t="s">
        <v>1476</v>
      </c>
      <c r="C18" s="1561">
        <f>P2B!C18*2*1.1</f>
        <v>0</v>
      </c>
      <c r="D18" s="1558">
        <f>P2B!D18*2*1.1</f>
        <v>0</v>
      </c>
      <c r="E18" s="1558">
        <f>P2B!E18*2*1.1</f>
        <v>0</v>
      </c>
      <c r="F18" s="1559">
        <f>P2B!F18*2*1.1</f>
        <v>0</v>
      </c>
      <c r="G18" s="1559">
        <f>P2B!G18*2*1.1</f>
        <v>103.03624540000001</v>
      </c>
      <c r="H18" s="1560">
        <f>P2B!H18*2*1.1</f>
        <v>103.03624540000001</v>
      </c>
    </row>
    <row r="19" spans="1:8">
      <c r="A19" s="1448" t="s">
        <v>965</v>
      </c>
      <c r="B19" s="1430" t="s">
        <v>1480</v>
      </c>
      <c r="C19" s="1561">
        <f>P2B!C19*2*1.1</f>
        <v>0</v>
      </c>
      <c r="D19" s="1558">
        <f>P2B!D19*2*1.1</f>
        <v>0</v>
      </c>
      <c r="E19" s="1558">
        <f>P2B!E19*2*1.1</f>
        <v>0</v>
      </c>
      <c r="F19" s="1559">
        <f>P2B!F19*2*1.1</f>
        <v>21.832698800000003</v>
      </c>
      <c r="G19" s="1559">
        <f>P2B!G19*2*1.1</f>
        <v>0</v>
      </c>
      <c r="H19" s="1560">
        <f>P2B!H19*2*1.1</f>
        <v>21.832698800000003</v>
      </c>
    </row>
    <row r="20" spans="1:8">
      <c r="A20" s="1448" t="s">
        <v>965</v>
      </c>
      <c r="B20" s="1430" t="s">
        <v>1430</v>
      </c>
      <c r="C20" s="1561">
        <f>P2B!C20*2*1.1</f>
        <v>0</v>
      </c>
      <c r="D20" s="1558">
        <f>P2B!D20*2*1.1</f>
        <v>0</v>
      </c>
      <c r="E20" s="1558">
        <f>P2B!E20*2*1.1</f>
        <v>0.30532920000000002</v>
      </c>
      <c r="F20" s="1559">
        <f>P2B!F20*2*1.1</f>
        <v>0</v>
      </c>
      <c r="G20" s="1559">
        <f>P2B!G20*2*1.1</f>
        <v>80.3654698</v>
      </c>
      <c r="H20" s="1560">
        <f>P2B!H20*2*1.1</f>
        <v>80.670799000000017</v>
      </c>
    </row>
    <row r="21" spans="1:8">
      <c r="A21" s="1448" t="s">
        <v>965</v>
      </c>
      <c r="B21" s="1430" t="s">
        <v>1431</v>
      </c>
      <c r="C21" s="1561">
        <f>P2B!C21*2*1.1</f>
        <v>0</v>
      </c>
      <c r="D21" s="1558">
        <f>P2B!D21*2*1.1</f>
        <v>0</v>
      </c>
      <c r="E21" s="1558">
        <f>P2B!E21*2*1.1</f>
        <v>2.6166096000000003</v>
      </c>
      <c r="F21" s="1559">
        <f>P2B!F21*2*1.1</f>
        <v>0</v>
      </c>
      <c r="G21" s="1559">
        <f>P2B!G21*2*1.1</f>
        <v>0</v>
      </c>
      <c r="H21" s="1560">
        <f>P2B!H21*2*1.1</f>
        <v>2.6166096000000003</v>
      </c>
    </row>
    <row r="22" spans="1:8">
      <c r="A22" s="1448" t="s">
        <v>965</v>
      </c>
      <c r="B22" s="1430" t="s">
        <v>1432</v>
      </c>
      <c r="C22" s="1561">
        <f>P2B!C22*2*1.1</f>
        <v>0</v>
      </c>
      <c r="D22" s="1558">
        <f>P2B!D22*2*1.1</f>
        <v>0</v>
      </c>
      <c r="E22" s="1558">
        <f>P2B!E22*2*1.1</f>
        <v>0.27802939999999998</v>
      </c>
      <c r="F22" s="1559">
        <f>P2B!F22*2*1.1</f>
        <v>0</v>
      </c>
      <c r="G22" s="1559">
        <f>P2B!G22*2*1.1</f>
        <v>0</v>
      </c>
      <c r="H22" s="1560">
        <f>P2B!H22*2*1.1</f>
        <v>0.27802939999999998</v>
      </c>
    </row>
    <row r="23" spans="1:8">
      <c r="A23" s="1448" t="s">
        <v>965</v>
      </c>
      <c r="B23" s="1430" t="s">
        <v>1433</v>
      </c>
      <c r="C23" s="1561">
        <f>P2B!C23*2*1.1</f>
        <v>0</v>
      </c>
      <c r="D23" s="1558">
        <f>P2B!D23*2*1.1</f>
        <v>0</v>
      </c>
      <c r="E23" s="1558">
        <f>P2B!E23*2*1.1</f>
        <v>0</v>
      </c>
      <c r="F23" s="1559">
        <f>P2B!F23*2*1.1</f>
        <v>0</v>
      </c>
      <c r="G23" s="1559">
        <f>P2B!G23*2*1.1</f>
        <v>71.596029999999999</v>
      </c>
      <c r="H23" s="1560">
        <f>P2B!H23*2*1.1</f>
        <v>71.596029999999999</v>
      </c>
    </row>
    <row r="24" spans="1:8">
      <c r="A24" s="1448" t="s">
        <v>965</v>
      </c>
      <c r="B24" s="1430" t="s">
        <v>1434</v>
      </c>
      <c r="C24" s="1561">
        <f>P2B!C24*2*1.1</f>
        <v>0</v>
      </c>
      <c r="D24" s="1558">
        <f>P2B!D24*2*1.1</f>
        <v>0</v>
      </c>
      <c r="E24" s="1558">
        <f>P2B!E24*2*1.1</f>
        <v>0</v>
      </c>
      <c r="F24" s="1559">
        <f>P2B!F24*2*1.1</f>
        <v>34.184392000000003</v>
      </c>
      <c r="G24" s="1559">
        <f>P2B!G24*2*1.1</f>
        <v>0</v>
      </c>
      <c r="H24" s="1560">
        <f>P2B!H24*2*1.1</f>
        <v>34.184392000000003</v>
      </c>
    </row>
    <row r="25" spans="1:8">
      <c r="A25" s="1448" t="s">
        <v>965</v>
      </c>
      <c r="B25" s="1430" t="s">
        <v>1435</v>
      </c>
      <c r="C25" s="1561">
        <f>P2B!C25*2*1.1</f>
        <v>0</v>
      </c>
      <c r="D25" s="1558">
        <f>P2B!D25*2*1.1</f>
        <v>0</v>
      </c>
      <c r="E25" s="1558">
        <f>P2B!E25*2*1.1</f>
        <v>56.527543600000001</v>
      </c>
      <c r="F25" s="1559">
        <f>P2B!F25*2*1.1</f>
        <v>0</v>
      </c>
      <c r="G25" s="1559">
        <f>P2B!G25*2*1.1</f>
        <v>41.982379999999999</v>
      </c>
      <c r="H25" s="1560">
        <f>P2B!H25*2*1.1</f>
        <v>98.509923600000008</v>
      </c>
    </row>
    <row r="26" spans="1:8">
      <c r="A26" s="1448" t="s">
        <v>965</v>
      </c>
      <c r="B26" s="1430" t="s">
        <v>1436</v>
      </c>
      <c r="C26" s="1561">
        <f>P2B!C26*2*1.1</f>
        <v>0</v>
      </c>
      <c r="D26" s="1558">
        <f>P2B!D26*2*1.1</f>
        <v>0</v>
      </c>
      <c r="E26" s="1558">
        <f>P2B!E26*2*1.1</f>
        <v>0</v>
      </c>
      <c r="F26" s="1559">
        <f>P2B!F26*2*1.1</f>
        <v>0</v>
      </c>
      <c r="G26" s="1559">
        <f>P2B!G26*2*1.1</f>
        <v>48.292420000000007</v>
      </c>
      <c r="H26" s="1560">
        <f>P2B!H26*2*1.1</f>
        <v>48.292420000000007</v>
      </c>
    </row>
    <row r="27" spans="1:8">
      <c r="A27" s="1448" t="s">
        <v>965</v>
      </c>
      <c r="B27" s="1430" t="s">
        <v>1506</v>
      </c>
      <c r="C27" s="1561">
        <f>P2B!C27*2*1.1</f>
        <v>0</v>
      </c>
      <c r="D27" s="1558">
        <f>P2B!D27*2*1.1</f>
        <v>15.151496800000002</v>
      </c>
      <c r="E27" s="1558">
        <f>P2B!E27*2*1.1</f>
        <v>0</v>
      </c>
      <c r="F27" s="1559">
        <f>P2B!F27*2*1.1</f>
        <v>0</v>
      </c>
      <c r="G27" s="1559">
        <f>P2B!G27*2*1.1</f>
        <v>0</v>
      </c>
      <c r="H27" s="1560">
        <f>P2B!H27*2*1.1</f>
        <v>15.151496800000002</v>
      </c>
    </row>
    <row r="28" spans="1:8">
      <c r="A28" s="1448" t="s">
        <v>965</v>
      </c>
      <c r="B28" s="1430" t="s">
        <v>1438</v>
      </c>
      <c r="C28" s="1561">
        <f>P2B!C28*2*1.1</f>
        <v>0</v>
      </c>
      <c r="D28" s="1558">
        <f>P2B!D28*2*1.1</f>
        <v>0</v>
      </c>
      <c r="E28" s="1558">
        <f>P2B!E28*2*1.1</f>
        <v>0</v>
      </c>
      <c r="F28" s="1559">
        <f>P2B!F28*2*1.1</f>
        <v>0</v>
      </c>
      <c r="G28" s="1559">
        <f>P2B!G28*2*1.1</f>
        <v>40.476530600000004</v>
      </c>
      <c r="H28" s="1560">
        <f>P2B!H28*2*1.1</f>
        <v>40.476530600000004</v>
      </c>
    </row>
    <row r="29" spans="1:8">
      <c r="A29" s="1448" t="s">
        <v>965</v>
      </c>
      <c r="B29" s="1430" t="s">
        <v>1439</v>
      </c>
      <c r="C29" s="1561">
        <f>P2B!C29*2*1.1</f>
        <v>0</v>
      </c>
      <c r="D29" s="1558">
        <f>P2B!D29*2*1.1</f>
        <v>0</v>
      </c>
      <c r="E29" s="1558">
        <f>P2B!E29*2*1.1</f>
        <v>0</v>
      </c>
      <c r="F29" s="1559">
        <f>P2B!F29*2*1.1</f>
        <v>0</v>
      </c>
      <c r="G29" s="1559">
        <f>P2B!G29*2*1.1</f>
        <v>46.537590000000002</v>
      </c>
      <c r="H29" s="1560">
        <f>P2B!H29*2*1.1</f>
        <v>46.537590000000002</v>
      </c>
    </row>
    <row r="30" spans="1:8">
      <c r="A30" s="1448" t="s">
        <v>965</v>
      </c>
      <c r="B30" s="1430" t="s">
        <v>1440</v>
      </c>
      <c r="C30" s="1561">
        <f>P2B!C30*2*1.1</f>
        <v>0</v>
      </c>
      <c r="D30" s="1558">
        <f>P2B!D30*2*1.1</f>
        <v>0</v>
      </c>
      <c r="E30" s="1558">
        <f>P2B!E30*2*1.1</f>
        <v>0</v>
      </c>
      <c r="F30" s="1559">
        <f>P2B!F30*2*1.1</f>
        <v>0</v>
      </c>
      <c r="G30" s="1559">
        <f>P2B!G30*2*1.1</f>
        <v>41.493870000000001</v>
      </c>
      <c r="H30" s="1560">
        <f>P2B!H30*2*1.1</f>
        <v>41.493870000000001</v>
      </c>
    </row>
    <row r="31" spans="1:8">
      <c r="A31" s="1448" t="s">
        <v>965</v>
      </c>
      <c r="B31" s="1430" t="s">
        <v>1441</v>
      </c>
      <c r="C31" s="1561">
        <f>P2B!C31*2*1.1</f>
        <v>395.15573460000002</v>
      </c>
      <c r="D31" s="1558">
        <f>P2B!D31*2*1.1</f>
        <v>0</v>
      </c>
      <c r="E31" s="1558">
        <f>P2B!E31*2*1.1</f>
        <v>0</v>
      </c>
      <c r="F31" s="1559">
        <f>P2B!F31*2*1.1</f>
        <v>0</v>
      </c>
      <c r="G31" s="1559">
        <f>P2B!G31*2*1.1</f>
        <v>0</v>
      </c>
      <c r="H31" s="1560">
        <f>P2B!H31*2*1.1</f>
        <v>395.15573460000002</v>
      </c>
    </row>
    <row r="32" spans="1:8">
      <c r="A32" s="1448" t="s">
        <v>965</v>
      </c>
      <c r="B32" s="1430" t="s">
        <v>1444</v>
      </c>
      <c r="C32" s="1561">
        <f>P2B!C32*2*1.1</f>
        <v>0.77620180000000005</v>
      </c>
      <c r="D32" s="1558">
        <f>P2B!D32*2*1.1</f>
        <v>13.679397600000001</v>
      </c>
      <c r="E32" s="1558">
        <f>P2B!E32*2*1.1</f>
        <v>0</v>
      </c>
      <c r="F32" s="1559">
        <f>P2B!F32*2*1.1</f>
        <v>0</v>
      </c>
      <c r="G32" s="1559">
        <f>P2B!G32*2*1.1</f>
        <v>0</v>
      </c>
      <c r="H32" s="1560">
        <f>P2B!H32*2*1.1</f>
        <v>14.455599400000001</v>
      </c>
    </row>
    <row r="33" spans="1:8">
      <c r="A33" s="1448" t="s">
        <v>965</v>
      </c>
      <c r="B33" s="1430" t="s">
        <v>1525</v>
      </c>
      <c r="C33" s="1561">
        <f>P2B!C33*2*1.1</f>
        <v>0.97361220000000015</v>
      </c>
      <c r="D33" s="1558">
        <f>P2B!D33*2*1.1</f>
        <v>0</v>
      </c>
      <c r="E33" s="1558">
        <f>P2B!E33*2*1.1</f>
        <v>0</v>
      </c>
      <c r="F33" s="1559">
        <f>P2B!F33*2*1.1</f>
        <v>0</v>
      </c>
      <c r="G33" s="1559">
        <f>P2B!G33*2*1.1</f>
        <v>0</v>
      </c>
      <c r="H33" s="1560">
        <f>P2B!H33*2*1.1</f>
        <v>0.97361220000000015</v>
      </c>
    </row>
    <row r="34" spans="1:8">
      <c r="A34" s="1448" t="s">
        <v>965</v>
      </c>
      <c r="B34" s="1430" t="s">
        <v>1528</v>
      </c>
      <c r="C34" s="1561">
        <f>P2B!C34*2*1.1</f>
        <v>0</v>
      </c>
      <c r="D34" s="1558">
        <f>P2B!D34*2*1.1</f>
        <v>19.068275600000003</v>
      </c>
      <c r="E34" s="1558">
        <f>P2B!E34*2*1.1</f>
        <v>0</v>
      </c>
      <c r="F34" s="1559">
        <f>P2B!F34*2*1.1</f>
        <v>0</v>
      </c>
      <c r="G34" s="1559">
        <f>P2B!G34*2*1.1</f>
        <v>0</v>
      </c>
      <c r="H34" s="1560">
        <f>P2B!H34*2*1.1</f>
        <v>19.068275600000003</v>
      </c>
    </row>
    <row r="35" spans="1:8">
      <c r="A35" s="1448" t="s">
        <v>965</v>
      </c>
      <c r="B35" s="1430" t="s">
        <v>1445</v>
      </c>
      <c r="C35" s="1561">
        <f>P2B!C35*2*1.1</f>
        <v>231.67909600000002</v>
      </c>
      <c r="D35" s="1558">
        <f>P2B!D35*2*1.1</f>
        <v>0</v>
      </c>
      <c r="E35" s="1558">
        <f>P2B!E35*2*1.1</f>
        <v>0</v>
      </c>
      <c r="F35" s="1559">
        <f>P2B!F35*2*1.1</f>
        <v>0</v>
      </c>
      <c r="G35" s="1559">
        <f>P2B!G35*2*1.1</f>
        <v>0</v>
      </c>
      <c r="H35" s="1560">
        <f>P2B!H35*2*1.1</f>
        <v>231.67909600000002</v>
      </c>
    </row>
    <row r="36" spans="1:8">
      <c r="A36" s="1448" t="s">
        <v>965</v>
      </c>
      <c r="B36" s="1430" t="s">
        <v>1446</v>
      </c>
      <c r="C36" s="1561">
        <f>P2B!C36*2*1.1</f>
        <v>1.0207516000000001</v>
      </c>
      <c r="D36" s="1558">
        <f>P2B!D36*2*1.1</f>
        <v>0</v>
      </c>
      <c r="E36" s="1558">
        <f>P2B!E36*2*1.1</f>
        <v>0</v>
      </c>
      <c r="F36" s="1559">
        <f>P2B!F36*2*1.1</f>
        <v>0</v>
      </c>
      <c r="G36" s="1559">
        <f>P2B!G36*2*1.1</f>
        <v>0</v>
      </c>
      <c r="H36" s="1560">
        <f>P2B!H36*2*1.1</f>
        <v>1.0207516000000001</v>
      </c>
    </row>
    <row r="37" spans="1:8">
      <c r="A37" s="1448" t="s">
        <v>965</v>
      </c>
      <c r="B37" s="1430" t="s">
        <v>1532</v>
      </c>
      <c r="C37" s="1561">
        <f>P2B!C37*2*1.1</f>
        <v>1.3338644000000002</v>
      </c>
      <c r="D37" s="1558">
        <f>P2B!D37*2*1.1</f>
        <v>0</v>
      </c>
      <c r="E37" s="1558">
        <f>P2B!E37*2*1.1</f>
        <v>0</v>
      </c>
      <c r="F37" s="1559">
        <f>P2B!F37*2*1.1</f>
        <v>0</v>
      </c>
      <c r="G37" s="1559">
        <f>P2B!G37*2*1.1</f>
        <v>0</v>
      </c>
      <c r="H37" s="1560">
        <f>P2B!H37*2*1.1</f>
        <v>1.3338644000000002</v>
      </c>
    </row>
    <row r="38" spans="1:8">
      <c r="A38" s="1448" t="s">
        <v>965</v>
      </c>
      <c r="B38" s="1430" t="s">
        <v>1447</v>
      </c>
      <c r="C38" s="1561">
        <f>P2B!C38*2*1.1</f>
        <v>0</v>
      </c>
      <c r="D38" s="1558">
        <f>P2B!D38*2*1.1</f>
        <v>10.717102000000001</v>
      </c>
      <c r="E38" s="1558">
        <f>P2B!E38*2*1.1</f>
        <v>0</v>
      </c>
      <c r="F38" s="1559">
        <f>P2B!F38*2*1.1</f>
        <v>0</v>
      </c>
      <c r="G38" s="1559">
        <f>P2B!G38*2*1.1</f>
        <v>0</v>
      </c>
      <c r="H38" s="1560">
        <f>P2B!H38*2*1.1</f>
        <v>10.717102000000001</v>
      </c>
    </row>
    <row r="39" spans="1:8">
      <c r="A39" s="1448" t="s">
        <v>965</v>
      </c>
      <c r="B39" s="1430" t="s">
        <v>1448</v>
      </c>
      <c r="C39" s="1561">
        <f>P2B!C39*2*1.1</f>
        <v>0</v>
      </c>
      <c r="D39" s="1558">
        <f>P2B!D39*2*1.1</f>
        <v>0</v>
      </c>
      <c r="E39" s="1558">
        <f>P2B!E39*2*1.1</f>
        <v>0</v>
      </c>
      <c r="F39" s="1559">
        <f>P2B!F39*2*1.1</f>
        <v>0</v>
      </c>
      <c r="G39" s="1559">
        <f>P2B!G39*2*1.1</f>
        <v>28.941382800000003</v>
      </c>
      <c r="H39" s="1560">
        <f>P2B!H39*2*1.1</f>
        <v>28.941382800000003</v>
      </c>
    </row>
    <row r="40" spans="1:8">
      <c r="A40" s="1448" t="s">
        <v>965</v>
      </c>
      <c r="B40" s="1430" t="s">
        <v>1449</v>
      </c>
      <c r="C40" s="1561">
        <f>P2B!C40*2*1.1</f>
        <v>0</v>
      </c>
      <c r="D40" s="1558">
        <f>P2B!D40*2*1.1</f>
        <v>37.292211000000002</v>
      </c>
      <c r="E40" s="1558">
        <f>P2B!E40*2*1.1</f>
        <v>0</v>
      </c>
      <c r="F40" s="1559">
        <f>P2B!F40*2*1.1</f>
        <v>0</v>
      </c>
      <c r="G40" s="1559">
        <f>P2B!G40*2*1.1</f>
        <v>0</v>
      </c>
      <c r="H40" s="1560">
        <f>P2B!H40*2*1.1</f>
        <v>37.292211000000002</v>
      </c>
    </row>
    <row r="41" spans="1:8">
      <c r="A41" s="1448" t="s">
        <v>965</v>
      </c>
      <c r="B41" s="1430" t="s">
        <v>1698</v>
      </c>
      <c r="C41" s="1561">
        <f>P2B!C41*2*1.1</f>
        <v>3.2126358000000002</v>
      </c>
      <c r="D41" s="1558">
        <f>P2B!D41*2*1.1</f>
        <v>0</v>
      </c>
      <c r="E41" s="1558">
        <f>P2B!E41*2*1.1</f>
        <v>0</v>
      </c>
      <c r="F41" s="1559">
        <f>P2B!F41*2*1.1</f>
        <v>0</v>
      </c>
      <c r="G41" s="1559">
        <f>P2B!G41*2*1.1</f>
        <v>0</v>
      </c>
      <c r="H41" s="1560">
        <f>P2B!H41*2*1.1</f>
        <v>3.2126358000000002</v>
      </c>
    </row>
    <row r="42" spans="1:8">
      <c r="A42" s="1448" t="s">
        <v>965</v>
      </c>
      <c r="B42" s="1430" t="s">
        <v>1699</v>
      </c>
      <c r="C42" s="1561">
        <f>P2B!C42*2*1.1</f>
        <v>8.0380718000000009</v>
      </c>
      <c r="D42" s="1558">
        <f>P2B!D42*2*1.1</f>
        <v>8.5572322000000014</v>
      </c>
      <c r="E42" s="1558">
        <f>P2B!E42*2*1.1</f>
        <v>0</v>
      </c>
      <c r="F42" s="1559">
        <f>P2B!F42*2*1.1</f>
        <v>0</v>
      </c>
      <c r="G42" s="1559">
        <f>P2B!G42*2*1.1</f>
        <v>0</v>
      </c>
      <c r="H42" s="1560">
        <f>P2B!H42*2*1.1</f>
        <v>16.595303999999999</v>
      </c>
    </row>
    <row r="43" spans="1:8">
      <c r="A43" s="1448" t="s">
        <v>965</v>
      </c>
      <c r="B43" s="1430" t="s">
        <v>1450</v>
      </c>
      <c r="C43" s="1561">
        <f>P2B!C43*2*1.1</f>
        <v>0</v>
      </c>
      <c r="D43" s="1558">
        <f>P2B!D43*2*1.1</f>
        <v>0</v>
      </c>
      <c r="E43" s="1558">
        <f>P2B!E43*2*1.1</f>
        <v>0</v>
      </c>
      <c r="F43" s="1559">
        <f>P2B!F43*2*1.1</f>
        <v>0</v>
      </c>
      <c r="G43" s="1559">
        <f>P2B!G43*2*1.1</f>
        <v>79.896031600000001</v>
      </c>
      <c r="H43" s="1560">
        <f>P2B!H43*2*1.1</f>
        <v>79.896031600000001</v>
      </c>
    </row>
    <row r="44" spans="1:8">
      <c r="A44" s="1448" t="s">
        <v>965</v>
      </c>
      <c r="B44" s="1430" t="s">
        <v>1700</v>
      </c>
      <c r="C44" s="1561">
        <f>P2B!C44*2*1.1</f>
        <v>116.77306080000001</v>
      </c>
      <c r="D44" s="1558">
        <f>P2B!D44*2*1.1</f>
        <v>0</v>
      </c>
      <c r="E44" s="1558">
        <f>P2B!E44*2*1.1</f>
        <v>0</v>
      </c>
      <c r="F44" s="1559">
        <f>P2B!F44*2*1.1</f>
        <v>0</v>
      </c>
      <c r="G44" s="1559">
        <f>P2B!G44*2*1.1</f>
        <v>0</v>
      </c>
      <c r="H44" s="1560">
        <f>P2B!H44*2*1.1</f>
        <v>116.77306080000001</v>
      </c>
    </row>
    <row r="45" spans="1:8">
      <c r="A45" s="1448" t="s">
        <v>965</v>
      </c>
      <c r="B45" s="1430" t="s">
        <v>1451</v>
      </c>
      <c r="C45" s="1561">
        <f>P2B!C45*2*1.1</f>
        <v>1.7830626000000001</v>
      </c>
      <c r="D45" s="1558">
        <f>P2B!D45*2*1.1</f>
        <v>0</v>
      </c>
      <c r="E45" s="1558">
        <f>P2B!E45*2*1.1</f>
        <v>0</v>
      </c>
      <c r="F45" s="1559">
        <f>P2B!F45*2*1.1</f>
        <v>0</v>
      </c>
      <c r="G45" s="1559">
        <f>P2B!G45*2*1.1</f>
        <v>0</v>
      </c>
      <c r="H45" s="1560">
        <f>P2B!H45*2*1.1</f>
        <v>1.7830626000000001</v>
      </c>
    </row>
    <row r="46" spans="1:8">
      <c r="A46" s="1448" t="s">
        <v>965</v>
      </c>
      <c r="B46" s="1430" t="s">
        <v>1452</v>
      </c>
      <c r="C46" s="1561">
        <f>P2B!C46*2*1.1</f>
        <v>0</v>
      </c>
      <c r="D46" s="1558">
        <f>P2B!D46*2*1.1</f>
        <v>0</v>
      </c>
      <c r="E46" s="1558">
        <f>P2B!E46*2*1.1</f>
        <v>0</v>
      </c>
      <c r="F46" s="1559">
        <f>P2B!F46*2*1.1</f>
        <v>0</v>
      </c>
      <c r="G46" s="1559">
        <f>P2B!G46*2*1.1</f>
        <v>14.691635200000002</v>
      </c>
      <c r="H46" s="1560">
        <f>P2B!H46*2*1.1</f>
        <v>14.691635200000002</v>
      </c>
    </row>
    <row r="47" spans="1:8">
      <c r="A47" s="1448" t="s">
        <v>965</v>
      </c>
      <c r="B47" s="1430" t="s">
        <v>1453</v>
      </c>
      <c r="C47" s="1561">
        <f>P2B!C47*2*1.1</f>
        <v>0</v>
      </c>
      <c r="D47" s="1558">
        <f>P2B!D47*2*1.1</f>
        <v>0</v>
      </c>
      <c r="E47" s="1558">
        <f>P2B!E47*2*1.1</f>
        <v>0</v>
      </c>
      <c r="F47" s="1559">
        <f>P2B!F47*2*1.1</f>
        <v>0</v>
      </c>
      <c r="G47" s="1559">
        <f>P2B!G47*2*1.1</f>
        <v>18.717947600000002</v>
      </c>
      <c r="H47" s="1560">
        <f>P2B!H47*2*1.1</f>
        <v>18.717947600000002</v>
      </c>
    </row>
    <row r="48" spans="1:8">
      <c r="A48" s="1448" t="s">
        <v>965</v>
      </c>
      <c r="B48" s="1430" t="s">
        <v>1426</v>
      </c>
      <c r="C48" s="1561">
        <f>P2B!C48*2*1.1</f>
        <v>0</v>
      </c>
      <c r="D48" s="1558">
        <f>P2B!D48*2*1.1</f>
        <v>0</v>
      </c>
      <c r="E48" s="1558">
        <f>P2B!E48*2*1.1</f>
        <v>0</v>
      </c>
      <c r="F48" s="1559">
        <f>P2B!F48*2*1.1</f>
        <v>0</v>
      </c>
      <c r="G48" s="1559">
        <f>P2B!G48*2*1.1</f>
        <v>36.300946000000003</v>
      </c>
      <c r="H48" s="1560">
        <f>P2B!H48*2*1.1</f>
        <v>36.300946000000003</v>
      </c>
    </row>
    <row r="49" spans="1:8">
      <c r="A49" s="1448" t="s">
        <v>965</v>
      </c>
      <c r="B49" s="1430" t="s">
        <v>1442</v>
      </c>
      <c r="C49" s="1561">
        <f>P2B!C49*2*1.1</f>
        <v>0</v>
      </c>
      <c r="D49" s="1558">
        <f>P2B!D49*2*1.1</f>
        <v>0</v>
      </c>
      <c r="E49" s="1558">
        <f>P2B!E49*2*1.1</f>
        <v>0</v>
      </c>
      <c r="F49" s="1559">
        <f>P2B!F49*2*1.1</f>
        <v>0</v>
      </c>
      <c r="G49" s="1559">
        <f>P2B!G49*2*1.1</f>
        <v>38.755043800000003</v>
      </c>
      <c r="H49" s="1560">
        <f>P2B!H49*2*1.1</f>
        <v>38.755043800000003</v>
      </c>
    </row>
    <row r="50" spans="1:8">
      <c r="A50" s="1448" t="s">
        <v>965</v>
      </c>
      <c r="B50" s="1430" t="s">
        <v>1429</v>
      </c>
      <c r="C50" s="1561">
        <f>P2B!C50*2*1.1</f>
        <v>0</v>
      </c>
      <c r="D50" s="1558">
        <f>P2B!D50*2*1.1</f>
        <v>0</v>
      </c>
      <c r="E50" s="1558">
        <f>P2B!E50*2*1.1</f>
        <v>0</v>
      </c>
      <c r="F50" s="1559">
        <f>P2B!F50*2*1.1</f>
        <v>0</v>
      </c>
      <c r="G50" s="1559">
        <f>P2B!G50*2*1.1</f>
        <v>68.305160000000001</v>
      </c>
      <c r="H50" s="1560">
        <f>P2B!H50*2*1.1</f>
        <v>68.305160000000001</v>
      </c>
    </row>
    <row r="51" spans="1:8">
      <c r="A51" s="1448" t="s">
        <v>965</v>
      </c>
      <c r="B51" s="1430" t="s">
        <v>1484</v>
      </c>
      <c r="C51" s="1561">
        <f>P2B!C51*2*1.1</f>
        <v>0</v>
      </c>
      <c r="D51" s="1558">
        <f>P2B!D51*2*1.1</f>
        <v>0</v>
      </c>
      <c r="E51" s="1558">
        <f>P2B!E51*2*1.1</f>
        <v>0</v>
      </c>
      <c r="F51" s="1559">
        <f>P2B!F51*2*1.1</f>
        <v>0</v>
      </c>
      <c r="G51" s="1559">
        <f>P2B!G51*2*1.1</f>
        <v>0</v>
      </c>
      <c r="H51" s="1560">
        <f>P2B!H51*2*1.1</f>
        <v>0</v>
      </c>
    </row>
    <row r="52" spans="1:8">
      <c r="A52" s="1448" t="s">
        <v>965</v>
      </c>
      <c r="B52" s="1430" t="s">
        <v>1443</v>
      </c>
      <c r="C52" s="1561">
        <f>P2B!C52*2*1.1</f>
        <v>0</v>
      </c>
      <c r="D52" s="1558">
        <f>P2B!D52*2*1.1</f>
        <v>0</v>
      </c>
      <c r="E52" s="1558">
        <f>P2B!E52*2*1.1</f>
        <v>0</v>
      </c>
      <c r="F52" s="1559">
        <f>P2B!F52*2*1.1</f>
        <v>0</v>
      </c>
      <c r="G52" s="1559">
        <f>P2B!G52*2*1.1</f>
        <v>39.811112000000008</v>
      </c>
      <c r="H52" s="1560">
        <f>P2B!H52*2*1.1</f>
        <v>39.811112000000008</v>
      </c>
    </row>
    <row r="53" spans="1:8" ht="17.25" thickBot="1">
      <c r="A53" s="1448" t="s">
        <v>965</v>
      </c>
      <c r="B53" s="1430" t="s">
        <v>1701</v>
      </c>
      <c r="C53" s="1561">
        <f>P2B!C53*2*1.1</f>
        <v>52.7647032</v>
      </c>
      <c r="D53" s="1558">
        <f>P2B!D53*2*1.1</f>
        <v>0</v>
      </c>
      <c r="E53" s="1558">
        <f>P2B!E53*2*1.1</f>
        <v>0</v>
      </c>
      <c r="F53" s="1559">
        <f>P2B!F53*2*1.1</f>
        <v>0</v>
      </c>
      <c r="G53" s="1559">
        <f>P2B!G53*2*1.1</f>
        <v>0</v>
      </c>
      <c r="H53" s="1560">
        <f>P2B!H53*2*1.1</f>
        <v>52.7647032</v>
      </c>
    </row>
    <row r="54" spans="1:8" ht="17.25" thickBot="1">
      <c r="A54" s="1446"/>
      <c r="B54" s="1441"/>
      <c r="C54" s="1562"/>
      <c r="D54" s="1563"/>
      <c r="E54" s="1563"/>
      <c r="F54" s="1564"/>
      <c r="G54" s="1564"/>
      <c r="H54" s="1565"/>
    </row>
    <row r="55" spans="1:8">
      <c r="A55" s="1447" t="s">
        <v>1106</v>
      </c>
      <c r="B55" s="1430" t="s">
        <v>1421</v>
      </c>
      <c r="C55" s="1561">
        <f>P2B!C55*2*1.1</f>
        <v>0</v>
      </c>
      <c r="D55" s="1561">
        <f>P2B!D55*2*1.1</f>
        <v>0</v>
      </c>
      <c r="E55" s="1561">
        <f>P2B!E55*2*1.1</f>
        <v>578.99666220000006</v>
      </c>
      <c r="F55" s="1561">
        <f>P2B!F55*2*1.1</f>
        <v>0</v>
      </c>
      <c r="G55" s="1561">
        <f>P2B!G55*2*1.1</f>
        <v>0</v>
      </c>
      <c r="H55" s="1561">
        <f>P2B!H55*2*1.1</f>
        <v>578.99666220000006</v>
      </c>
    </row>
    <row r="56" spans="1:8">
      <c r="A56" s="1448" t="s">
        <v>1106</v>
      </c>
      <c r="B56" s="1430" t="s">
        <v>1454</v>
      </c>
      <c r="C56" s="1561">
        <f>P2B!C56*2*1.1</f>
        <v>0</v>
      </c>
      <c r="D56" s="1558">
        <f>P2B!D56*2*1.1</f>
        <v>0</v>
      </c>
      <c r="E56" s="1558">
        <f>P2B!E56*2*1.1</f>
        <v>375.09951380000001</v>
      </c>
      <c r="F56" s="1559">
        <f>P2B!F56*2*1.1</f>
        <v>0</v>
      </c>
      <c r="G56" s="1559">
        <f>P2B!G56*2*1.1</f>
        <v>0</v>
      </c>
      <c r="H56" s="1560">
        <f>P2B!H56*2*1.1</f>
        <v>375.09951380000001</v>
      </c>
    </row>
    <row r="57" spans="1:8">
      <c r="A57" s="1448" t="s">
        <v>1106</v>
      </c>
      <c r="B57" s="1430" t="s">
        <v>1420</v>
      </c>
      <c r="C57" s="1561">
        <f>P2B!C57*2*1.1</f>
        <v>0</v>
      </c>
      <c r="D57" s="1558">
        <f>P2B!D57*2*1.1</f>
        <v>0</v>
      </c>
      <c r="E57" s="1558">
        <f>P2B!E57*2*1.1</f>
        <v>431.87502380000001</v>
      </c>
      <c r="F57" s="1559">
        <f>P2B!F57*2*1.1</f>
        <v>0</v>
      </c>
      <c r="G57" s="1559">
        <f>P2B!G57*2*1.1</f>
        <v>0</v>
      </c>
      <c r="H57" s="1560">
        <f>P2B!H57*2*1.1</f>
        <v>431.87502380000001</v>
      </c>
    </row>
    <row r="58" spans="1:8">
      <c r="A58" s="1448" t="s">
        <v>1106</v>
      </c>
      <c r="B58" s="1430" t="s">
        <v>1422</v>
      </c>
      <c r="C58" s="1561">
        <f>P2B!C58*2*1.1</f>
        <v>0</v>
      </c>
      <c r="D58" s="1558">
        <f>P2B!D58*2*1.1</f>
        <v>0</v>
      </c>
      <c r="E58" s="1558">
        <f>P2B!E58*2*1.1</f>
        <v>133.3690072</v>
      </c>
      <c r="F58" s="1559">
        <f>P2B!F58*2*1.1</f>
        <v>0</v>
      </c>
      <c r="G58" s="1559">
        <f>P2B!G58*2*1.1</f>
        <v>0</v>
      </c>
      <c r="H58" s="1560">
        <f>P2B!H58*2*1.1</f>
        <v>133.3690072</v>
      </c>
    </row>
    <row r="59" spans="1:8">
      <c r="A59" s="1448" t="s">
        <v>1106</v>
      </c>
      <c r="B59" s="1430" t="s">
        <v>1457</v>
      </c>
      <c r="C59" s="1561">
        <f>P2B!C59*2*1.1</f>
        <v>0</v>
      </c>
      <c r="D59" s="1558">
        <f>P2B!D59*2*1.1</f>
        <v>0</v>
      </c>
      <c r="E59" s="1558">
        <f>P2B!E59*2*1.1</f>
        <v>219.46501500000002</v>
      </c>
      <c r="F59" s="1559">
        <f>P2B!F59*2*1.1</f>
        <v>0</v>
      </c>
      <c r="G59" s="1559">
        <f>P2B!G59*2*1.1</f>
        <v>0</v>
      </c>
      <c r="H59" s="1560">
        <f>P2B!H59*2*1.1</f>
        <v>219.46501500000002</v>
      </c>
    </row>
    <row r="60" spans="1:8">
      <c r="A60" s="1448" t="s">
        <v>1106</v>
      </c>
      <c r="B60" s="1430" t="s">
        <v>1458</v>
      </c>
      <c r="C60" s="1561">
        <f>P2B!C60*2*1.1</f>
        <v>0</v>
      </c>
      <c r="D60" s="1558">
        <f>P2B!D60*2*1.1</f>
        <v>0</v>
      </c>
      <c r="E60" s="1558">
        <f>P2B!E60*2*1.1</f>
        <v>568.10015900000008</v>
      </c>
      <c r="F60" s="1559">
        <f>P2B!F60*2*1.1</f>
        <v>0</v>
      </c>
      <c r="G60" s="1559">
        <f>P2B!G60*2*1.1</f>
        <v>0</v>
      </c>
      <c r="H60" s="1560">
        <f>P2B!H60*2*1.1</f>
        <v>568.10015900000008</v>
      </c>
    </row>
    <row r="61" spans="1:8">
      <c r="A61" s="1448" t="s">
        <v>1106</v>
      </c>
      <c r="B61" s="1430" t="s">
        <v>1459</v>
      </c>
      <c r="C61" s="1561">
        <f>P2B!C61*2*1.1</f>
        <v>0</v>
      </c>
      <c r="D61" s="1558">
        <f>P2B!D61*2*1.1</f>
        <v>0</v>
      </c>
      <c r="E61" s="1558">
        <f>P2B!E61*2*1.1</f>
        <v>165.37059000000002</v>
      </c>
      <c r="F61" s="1559">
        <f>P2B!F61*2*1.1</f>
        <v>0</v>
      </c>
      <c r="G61" s="1559">
        <f>P2B!G61*2*1.1</f>
        <v>0</v>
      </c>
      <c r="H61" s="1560">
        <f>P2B!H61*2*1.1</f>
        <v>165.37059000000002</v>
      </c>
    </row>
    <row r="62" spans="1:8">
      <c r="A62" s="1448" t="s">
        <v>1106</v>
      </c>
      <c r="B62" s="1430" t="s">
        <v>1460</v>
      </c>
      <c r="C62" s="1561">
        <f>P2B!C62*2*1.1</f>
        <v>0</v>
      </c>
      <c r="D62" s="1558">
        <f>P2B!D62*2*1.1</f>
        <v>0</v>
      </c>
      <c r="E62" s="1558">
        <f>P2B!E62*2*1.1</f>
        <v>460.08669739999999</v>
      </c>
      <c r="F62" s="1559">
        <f>P2B!F62*2*1.1</f>
        <v>0</v>
      </c>
      <c r="G62" s="1559">
        <f>P2B!G62*2*1.1</f>
        <v>0</v>
      </c>
      <c r="H62" s="1560">
        <f>P2B!H62*2*1.1</f>
        <v>460.08669739999999</v>
      </c>
    </row>
    <row r="63" spans="1:8">
      <c r="A63" s="1448" t="s">
        <v>1106</v>
      </c>
      <c r="B63" s="1430" t="s">
        <v>1461</v>
      </c>
      <c r="C63" s="1561">
        <f>P2B!C63*2*1.1</f>
        <v>0</v>
      </c>
      <c r="D63" s="1558">
        <f>P2B!D63*2*1.1</f>
        <v>0</v>
      </c>
      <c r="E63" s="1558">
        <f>P2B!E63*2*1.1</f>
        <v>337.36581340000004</v>
      </c>
      <c r="F63" s="1559">
        <f>P2B!F63*2*1.1</f>
        <v>0</v>
      </c>
      <c r="G63" s="1559">
        <f>P2B!G63*2*1.1</f>
        <v>0</v>
      </c>
      <c r="H63" s="1560">
        <f>P2B!H63*2*1.1</f>
        <v>337.36581340000004</v>
      </c>
    </row>
    <row r="64" spans="1:8">
      <c r="A64" s="1448" t="s">
        <v>1106</v>
      </c>
      <c r="B64" s="1430" t="s">
        <v>1423</v>
      </c>
      <c r="C64" s="1561">
        <f>P2B!C64*2*1.1</f>
        <v>0</v>
      </c>
      <c r="D64" s="1558">
        <f>P2B!D64*2*1.1</f>
        <v>0</v>
      </c>
      <c r="E64" s="1558">
        <f>P2B!E64*2*1.1</f>
        <v>549.485409</v>
      </c>
      <c r="F64" s="1559">
        <f>P2B!F64*2*1.1</f>
        <v>0</v>
      </c>
      <c r="G64" s="1559">
        <f>P2B!G64*2*1.1</f>
        <v>0</v>
      </c>
      <c r="H64" s="1560">
        <f>P2B!H64*2*1.1</f>
        <v>549.485409</v>
      </c>
    </row>
    <row r="65" spans="1:8">
      <c r="A65" s="1448" t="s">
        <v>1106</v>
      </c>
      <c r="B65" s="1430" t="s">
        <v>1462</v>
      </c>
      <c r="C65" s="1561">
        <f>P2B!C65*2*1.1</f>
        <v>0</v>
      </c>
      <c r="D65" s="1558">
        <f>P2B!D65*2*1.1</f>
        <v>0</v>
      </c>
      <c r="E65" s="1558">
        <f>P2B!E65*2*1.1</f>
        <v>638.58180540000001</v>
      </c>
      <c r="F65" s="1559">
        <f>P2B!F65*2*1.1</f>
        <v>0</v>
      </c>
      <c r="G65" s="1559">
        <f>P2B!G65*2*1.1</f>
        <v>0</v>
      </c>
      <c r="H65" s="1560">
        <f>P2B!H65*2*1.1</f>
        <v>638.58180540000001</v>
      </c>
    </row>
    <row r="66" spans="1:8">
      <c r="A66" s="1448" t="s">
        <v>1106</v>
      </c>
      <c r="B66" s="1430" t="s">
        <v>1424</v>
      </c>
      <c r="C66" s="1561">
        <f>P2B!C66*2*1.1</f>
        <v>0</v>
      </c>
      <c r="D66" s="1558">
        <f>P2B!D66*2*1.1</f>
        <v>0</v>
      </c>
      <c r="E66" s="1558">
        <f>P2B!E66*2*1.1</f>
        <v>416.24746240000007</v>
      </c>
      <c r="F66" s="1559">
        <f>P2B!F66*2*1.1</f>
        <v>0</v>
      </c>
      <c r="G66" s="1559">
        <f>P2B!G66*2*1.1</f>
        <v>0</v>
      </c>
      <c r="H66" s="1560">
        <f>P2B!H66*2*1.1</f>
        <v>416.24746240000007</v>
      </c>
    </row>
    <row r="67" spans="1:8">
      <c r="A67" s="1448" t="s">
        <v>1106</v>
      </c>
      <c r="B67" s="1430" t="s">
        <v>1463</v>
      </c>
      <c r="C67" s="1561">
        <f>P2B!C67*2*1.1</f>
        <v>0</v>
      </c>
      <c r="D67" s="1558">
        <f>P2B!D67*2*1.1</f>
        <v>0</v>
      </c>
      <c r="E67" s="1558">
        <f>P2B!E67*2*1.1</f>
        <v>295.16979580000003</v>
      </c>
      <c r="F67" s="1559">
        <f>P2B!F67*2*1.1</f>
        <v>0</v>
      </c>
      <c r="G67" s="1559">
        <f>P2B!G67*2*1.1</f>
        <v>0</v>
      </c>
      <c r="H67" s="1560">
        <f>P2B!H67*2*1.1</f>
        <v>295.16979580000003</v>
      </c>
    </row>
    <row r="68" spans="1:8">
      <c r="A68" s="1448" t="s">
        <v>1106</v>
      </c>
      <c r="B68" s="1430" t="s">
        <v>1464</v>
      </c>
      <c r="C68" s="1561">
        <f>P2B!C68*2*1.1</f>
        <v>0</v>
      </c>
      <c r="D68" s="1558">
        <f>P2B!D68*2*1.1</f>
        <v>0</v>
      </c>
      <c r="E68" s="1558">
        <f>P2B!E68*2*1.1</f>
        <v>536.11651940000002</v>
      </c>
      <c r="F68" s="1559">
        <f>P2B!F68*2*1.1</f>
        <v>0</v>
      </c>
      <c r="G68" s="1559">
        <f>P2B!G68*2*1.1</f>
        <v>0</v>
      </c>
      <c r="H68" s="1560">
        <f>P2B!H68*2*1.1</f>
        <v>536.11651940000002</v>
      </c>
    </row>
    <row r="69" spans="1:8">
      <c r="A69" s="1448" t="s">
        <v>1106</v>
      </c>
      <c r="B69" s="1430" t="s">
        <v>1465</v>
      </c>
      <c r="C69" s="1561">
        <f>P2B!C69*2*1.1</f>
        <v>0</v>
      </c>
      <c r="D69" s="1558">
        <f>P2B!D69*2*1.1</f>
        <v>0</v>
      </c>
      <c r="E69" s="1558">
        <f>P2B!E69*2*1.1</f>
        <v>188.35568400000002</v>
      </c>
      <c r="F69" s="1559">
        <f>P2B!F69*2*1.1</f>
        <v>0</v>
      </c>
      <c r="G69" s="1559">
        <f>P2B!G69*2*1.1</f>
        <v>0</v>
      </c>
      <c r="H69" s="1560">
        <f>P2B!H69*2*1.1</f>
        <v>188.35568400000002</v>
      </c>
    </row>
    <row r="70" spans="1:8">
      <c r="A70" s="1448" t="s">
        <v>1106</v>
      </c>
      <c r="B70" s="1430" t="s">
        <v>1466</v>
      </c>
      <c r="C70" s="1561">
        <f>P2B!C70*2*1.1</f>
        <v>0</v>
      </c>
      <c r="D70" s="1558">
        <f>P2B!D70*2*1.1</f>
        <v>0</v>
      </c>
      <c r="E70" s="1558">
        <f>P2B!E70*2*1.1</f>
        <v>349.78382780000004</v>
      </c>
      <c r="F70" s="1559">
        <f>P2B!F70*2*1.1</f>
        <v>0</v>
      </c>
      <c r="G70" s="1559">
        <f>P2B!G70*2*1.1</f>
        <v>0</v>
      </c>
      <c r="H70" s="1560">
        <f>P2B!H70*2*1.1</f>
        <v>349.78382780000004</v>
      </c>
    </row>
    <row r="71" spans="1:8">
      <c r="A71" s="1448" t="s">
        <v>1106</v>
      </c>
      <c r="B71" s="1430" t="s">
        <v>1425</v>
      </c>
      <c r="C71" s="1561">
        <f>P2B!C71*2*1.1</f>
        <v>0</v>
      </c>
      <c r="D71" s="1558">
        <f>P2B!D71*2*1.1</f>
        <v>0</v>
      </c>
      <c r="E71" s="1558">
        <f>P2B!E71*2*1.1</f>
        <v>194.44018220000001</v>
      </c>
      <c r="F71" s="1559">
        <f>P2B!F71*2*1.1</f>
        <v>0</v>
      </c>
      <c r="G71" s="1559">
        <f>P2B!G71*2*1.1</f>
        <v>0</v>
      </c>
      <c r="H71" s="1560">
        <f>P2B!H71*2*1.1</f>
        <v>194.44018220000001</v>
      </c>
    </row>
    <row r="72" spans="1:8">
      <c r="A72" s="1448" t="s">
        <v>1106</v>
      </c>
      <c r="B72" s="1430" t="s">
        <v>1467</v>
      </c>
      <c r="C72" s="1561">
        <f>P2B!C72*2*1.1</f>
        <v>0</v>
      </c>
      <c r="D72" s="1558">
        <f>P2B!D72*2*1.1</f>
        <v>0</v>
      </c>
      <c r="E72" s="1558">
        <f>P2B!E72*2*1.1</f>
        <v>217.08828460000001</v>
      </c>
      <c r="F72" s="1559">
        <f>P2B!F72*2*1.1</f>
        <v>0</v>
      </c>
      <c r="G72" s="1559">
        <f>P2B!G72*2*1.1</f>
        <v>0</v>
      </c>
      <c r="H72" s="1560">
        <f>P2B!H72*2*1.1</f>
        <v>217.08828460000001</v>
      </c>
    </row>
    <row r="73" spans="1:8">
      <c r="A73" s="1448" t="s">
        <v>1106</v>
      </c>
      <c r="B73" s="1430" t="s">
        <v>1468</v>
      </c>
      <c r="C73" s="1561">
        <f>P2B!C73*2*1.1</f>
        <v>0</v>
      </c>
      <c r="D73" s="1558">
        <f>P2B!D73*2*1.1</f>
        <v>0</v>
      </c>
      <c r="E73" s="1558">
        <f>P2B!E73*2*1.1</f>
        <v>167.48497700000001</v>
      </c>
      <c r="F73" s="1559">
        <f>P2B!F73*2*1.1</f>
        <v>0</v>
      </c>
      <c r="G73" s="1559">
        <f>P2B!G73*2*1.1</f>
        <v>0</v>
      </c>
      <c r="H73" s="1560">
        <f>P2B!H73*2*1.1</f>
        <v>167.48497700000001</v>
      </c>
    </row>
    <row r="74" spans="1:8">
      <c r="A74" s="1448" t="s">
        <v>1106</v>
      </c>
      <c r="B74" s="1430" t="s">
        <v>1469</v>
      </c>
      <c r="C74" s="1561">
        <f>P2B!C74*2*1.1</f>
        <v>0</v>
      </c>
      <c r="D74" s="1558">
        <f>P2B!D74*2*1.1</f>
        <v>0</v>
      </c>
      <c r="E74" s="1558">
        <f>P2B!E74*2*1.1</f>
        <v>349.78205680000002</v>
      </c>
      <c r="F74" s="1559">
        <f>P2B!F74*2*1.1</f>
        <v>0</v>
      </c>
      <c r="G74" s="1559">
        <f>P2B!G74*2*1.1</f>
        <v>0</v>
      </c>
      <c r="H74" s="1560">
        <f>P2B!H74*2*1.1</f>
        <v>349.78205680000002</v>
      </c>
    </row>
    <row r="75" spans="1:8">
      <c r="A75" s="1448" t="s">
        <v>1106</v>
      </c>
      <c r="B75" s="1430" t="s">
        <v>1470</v>
      </c>
      <c r="C75" s="1561">
        <f>P2B!C75*2*1.1</f>
        <v>0</v>
      </c>
      <c r="D75" s="1558">
        <f>P2B!D75*2*1.1</f>
        <v>0</v>
      </c>
      <c r="E75" s="1558">
        <f>P2B!E75*2*1.1</f>
        <v>561.92451700000004</v>
      </c>
      <c r="F75" s="1559">
        <f>P2B!F75*2*1.1</f>
        <v>0</v>
      </c>
      <c r="G75" s="1559">
        <f>P2B!G75*2*1.1</f>
        <v>0</v>
      </c>
      <c r="H75" s="1560">
        <f>P2B!H75*2*1.1</f>
        <v>561.92451700000004</v>
      </c>
    </row>
    <row r="76" spans="1:8">
      <c r="A76" s="1448" t="s">
        <v>1106</v>
      </c>
      <c r="B76" s="1430" t="s">
        <v>1427</v>
      </c>
      <c r="C76" s="1561">
        <f>P2B!C76*2*1.1</f>
        <v>0</v>
      </c>
      <c r="D76" s="1558">
        <f>P2B!D76*2*1.1</f>
        <v>0</v>
      </c>
      <c r="E76" s="1558">
        <f>P2B!E76*2*1.1</f>
        <v>322.38092920000003</v>
      </c>
      <c r="F76" s="1559">
        <f>P2B!F76*2*1.1</f>
        <v>0</v>
      </c>
      <c r="G76" s="1559">
        <f>P2B!G76*2*1.1</f>
        <v>0</v>
      </c>
      <c r="H76" s="1560">
        <f>P2B!H76*2*1.1</f>
        <v>322.38092920000003</v>
      </c>
    </row>
    <row r="77" spans="1:8">
      <c r="A77" s="1448" t="s">
        <v>1106</v>
      </c>
      <c r="B77" s="1430" t="s">
        <v>1428</v>
      </c>
      <c r="C77" s="1561">
        <f>P2B!C77*2*1.1</f>
        <v>0</v>
      </c>
      <c r="D77" s="1558">
        <f>P2B!D77*2*1.1</f>
        <v>0</v>
      </c>
      <c r="E77" s="1558">
        <f>P2B!E77*2*1.1</f>
        <v>188.35353680000003</v>
      </c>
      <c r="F77" s="1559">
        <f>P2B!F77*2*1.1</f>
        <v>0</v>
      </c>
      <c r="G77" s="1559">
        <f>P2B!G77*2*1.1</f>
        <v>0</v>
      </c>
      <c r="H77" s="1560">
        <f>P2B!H77*2*1.1</f>
        <v>188.35353680000003</v>
      </c>
    </row>
    <row r="78" spans="1:8">
      <c r="A78" s="1448" t="s">
        <v>1106</v>
      </c>
      <c r="B78" s="1430" t="s">
        <v>1473</v>
      </c>
      <c r="C78" s="1561">
        <f>P2B!C78*2*1.1</f>
        <v>0</v>
      </c>
      <c r="D78" s="1558">
        <f>P2B!D78*2*1.1</f>
        <v>0</v>
      </c>
      <c r="E78" s="1558">
        <f>P2B!E78*2*1.1</f>
        <v>482.28028640000002</v>
      </c>
      <c r="F78" s="1559">
        <f>P2B!F78*2*1.1</f>
        <v>0</v>
      </c>
      <c r="G78" s="1559">
        <f>P2B!G78*2*1.1</f>
        <v>0</v>
      </c>
      <c r="H78" s="1560">
        <f>P2B!H78*2*1.1</f>
        <v>482.28028640000002</v>
      </c>
    </row>
    <row r="79" spans="1:8">
      <c r="A79" s="1448" t="s">
        <v>1106</v>
      </c>
      <c r="B79" s="1430" t="s">
        <v>1474</v>
      </c>
      <c r="C79" s="1561">
        <f>P2B!C79*2*1.1</f>
        <v>0</v>
      </c>
      <c r="D79" s="1558">
        <f>P2B!D79*2*1.1</f>
        <v>0</v>
      </c>
      <c r="E79" s="1558">
        <f>P2B!E79*2*1.1</f>
        <v>765.34937600000001</v>
      </c>
      <c r="F79" s="1559">
        <f>P2B!F79*2*1.1</f>
        <v>0</v>
      </c>
      <c r="G79" s="1559">
        <f>P2B!G79*2*1.1</f>
        <v>0</v>
      </c>
      <c r="H79" s="1560">
        <f>P2B!H79*2*1.1</f>
        <v>765.34937600000001</v>
      </c>
    </row>
    <row r="80" spans="1:8">
      <c r="A80" s="1448" t="s">
        <v>1106</v>
      </c>
      <c r="B80" s="1430" t="s">
        <v>1716</v>
      </c>
      <c r="C80" s="1561">
        <f>P2B!C80*2*1.1</f>
        <v>0</v>
      </c>
      <c r="D80" s="1558">
        <f>P2B!D80*2*1.1</f>
        <v>0</v>
      </c>
      <c r="E80" s="1558">
        <f>P2B!E80*2*1.1</f>
        <v>54.764754000000011</v>
      </c>
      <c r="F80" s="1559">
        <f>P2B!F80*2*1.1</f>
        <v>0</v>
      </c>
      <c r="G80" s="1559">
        <f>P2B!G80*2*1.1</f>
        <v>0</v>
      </c>
      <c r="H80" s="1560">
        <f>P2B!H80*2*1.1</f>
        <v>54.764754000000011</v>
      </c>
    </row>
    <row r="81" spans="1:8">
      <c r="A81" s="1448" t="s">
        <v>1106</v>
      </c>
      <c r="B81" s="1430" t="s">
        <v>1475</v>
      </c>
      <c r="C81" s="1561">
        <f>P2B!C81*2*1.1</f>
        <v>0</v>
      </c>
      <c r="D81" s="1558">
        <f>P2B!D81*2*1.1</f>
        <v>0</v>
      </c>
      <c r="E81" s="1558">
        <f>P2B!E81*2*1.1</f>
        <v>288.78893340000002</v>
      </c>
      <c r="F81" s="1559">
        <f>P2B!F81*2*1.1</f>
        <v>0</v>
      </c>
      <c r="G81" s="1559">
        <f>P2B!G81*2*1.1</f>
        <v>0</v>
      </c>
      <c r="H81" s="1560">
        <f>P2B!H81*2*1.1</f>
        <v>288.78893340000002</v>
      </c>
    </row>
    <row r="82" spans="1:8">
      <c r="A82" s="1448" t="s">
        <v>1106</v>
      </c>
      <c r="B82" s="1430" t="s">
        <v>1476</v>
      </c>
      <c r="C82" s="1561">
        <f>P2B!C82*2*1.1</f>
        <v>0</v>
      </c>
      <c r="D82" s="1558">
        <f>P2B!D82*2*1.1</f>
        <v>0</v>
      </c>
      <c r="E82" s="1558">
        <f>P2B!E82*2*1.1</f>
        <v>108.4958798</v>
      </c>
      <c r="F82" s="1559">
        <f>P2B!F82*2*1.1</f>
        <v>0</v>
      </c>
      <c r="G82" s="1559">
        <f>P2B!G82*2*1.1</f>
        <v>0</v>
      </c>
      <c r="H82" s="1560">
        <f>P2B!H82*2*1.1</f>
        <v>108.4958798</v>
      </c>
    </row>
    <row r="83" spans="1:8">
      <c r="A83" s="1448" t="s">
        <v>1106</v>
      </c>
      <c r="B83" s="1430" t="s">
        <v>1477</v>
      </c>
      <c r="C83" s="1561">
        <f>P2B!C83*2*1.1</f>
        <v>0</v>
      </c>
      <c r="D83" s="1558">
        <f>P2B!D83*2*1.1</f>
        <v>0</v>
      </c>
      <c r="E83" s="1558">
        <f>P2B!E83*2*1.1</f>
        <v>303.84472360000001</v>
      </c>
      <c r="F83" s="1559">
        <f>P2B!F83*2*1.1</f>
        <v>0</v>
      </c>
      <c r="G83" s="1559">
        <f>P2B!G83*2*1.1</f>
        <v>0</v>
      </c>
      <c r="H83" s="1560">
        <f>P2B!H83*2*1.1</f>
        <v>303.84472360000001</v>
      </c>
    </row>
    <row r="84" spans="1:8">
      <c r="A84" s="1448" t="s">
        <v>1106</v>
      </c>
      <c r="B84" s="1430" t="s">
        <v>1478</v>
      </c>
      <c r="C84" s="1561">
        <f>P2B!C84*2*1.1</f>
        <v>0</v>
      </c>
      <c r="D84" s="1558">
        <f>P2B!D84*2*1.1</f>
        <v>0</v>
      </c>
      <c r="E84" s="1558">
        <f>P2B!E84*2*1.1</f>
        <v>346.98804360000003</v>
      </c>
      <c r="F84" s="1559">
        <f>P2B!F84*2*1.1</f>
        <v>0</v>
      </c>
      <c r="G84" s="1559">
        <f>P2B!G84*2*1.1</f>
        <v>0</v>
      </c>
      <c r="H84" s="1560">
        <f>P2B!H84*2*1.1</f>
        <v>346.98804360000003</v>
      </c>
    </row>
    <row r="85" spans="1:8">
      <c r="A85" s="1448" t="s">
        <v>1106</v>
      </c>
      <c r="B85" s="1430" t="s">
        <v>2266</v>
      </c>
      <c r="C85" s="1561">
        <f>P2B!C85*2*1.1</f>
        <v>0</v>
      </c>
      <c r="D85" s="1558">
        <f>P2B!D85*2*1.1</f>
        <v>0</v>
      </c>
      <c r="E85" s="1558">
        <f>P2B!E85*2*1.1</f>
        <v>234.05657440000002</v>
      </c>
      <c r="F85" s="1559">
        <f>P2B!F85*2*1.1</f>
        <v>0</v>
      </c>
      <c r="G85" s="1559">
        <f>P2B!G85*2*1.1</f>
        <v>0</v>
      </c>
      <c r="H85" s="1560">
        <f>P2B!H85*2*1.1</f>
        <v>234.05657440000002</v>
      </c>
    </row>
    <row r="86" spans="1:8">
      <c r="A86" s="1448" t="s">
        <v>1106</v>
      </c>
      <c r="B86" s="1430" t="s">
        <v>1479</v>
      </c>
      <c r="C86" s="1561">
        <f>P2B!C86*2*1.1</f>
        <v>0</v>
      </c>
      <c r="D86" s="1558">
        <f>P2B!D86*2*1.1</f>
        <v>0</v>
      </c>
      <c r="E86" s="1558">
        <f>P2B!E86*2*1.1</f>
        <v>138.7149258</v>
      </c>
      <c r="F86" s="1559">
        <f>P2B!F86*2*1.1</f>
        <v>0</v>
      </c>
      <c r="G86" s="1559">
        <f>P2B!G86*2*1.1</f>
        <v>0</v>
      </c>
      <c r="H86" s="1560">
        <f>P2B!H86*2*1.1</f>
        <v>138.7149258</v>
      </c>
    </row>
    <row r="87" spans="1:8">
      <c r="A87" s="1448" t="s">
        <v>1106</v>
      </c>
      <c r="B87" s="1430" t="s">
        <v>1480</v>
      </c>
      <c r="C87" s="1561">
        <f>P2B!C87*2*1.1</f>
        <v>0</v>
      </c>
      <c r="D87" s="1558">
        <f>P2B!D87*2*1.1</f>
        <v>0</v>
      </c>
      <c r="E87" s="1558">
        <f>P2B!E87*2*1.1</f>
        <v>186.29596480000004</v>
      </c>
      <c r="F87" s="1559">
        <f>P2B!F87*2*1.1</f>
        <v>0</v>
      </c>
      <c r="G87" s="1559">
        <f>P2B!G87*2*1.1</f>
        <v>0</v>
      </c>
      <c r="H87" s="1560">
        <f>P2B!H87*2*1.1</f>
        <v>186.29596480000004</v>
      </c>
    </row>
    <row r="88" spans="1:8">
      <c r="A88" s="1448" t="s">
        <v>1106</v>
      </c>
      <c r="B88" s="1430" t="s">
        <v>1482</v>
      </c>
      <c r="C88" s="1561">
        <f>P2B!C88*2*1.1</f>
        <v>0</v>
      </c>
      <c r="D88" s="1558">
        <f>P2B!D88*2*1.1</f>
        <v>0</v>
      </c>
      <c r="E88" s="1558">
        <f>P2B!E88*2*1.1</f>
        <v>488.40568700000006</v>
      </c>
      <c r="F88" s="1559">
        <f>P2B!F88*2*1.1</f>
        <v>0</v>
      </c>
      <c r="G88" s="1559">
        <f>P2B!G88*2*1.1</f>
        <v>0</v>
      </c>
      <c r="H88" s="1560">
        <f>P2B!H88*2*1.1</f>
        <v>488.40568700000006</v>
      </c>
    </row>
    <row r="89" spans="1:8">
      <c r="A89" s="1448" t="s">
        <v>1106</v>
      </c>
      <c r="B89" s="1430" t="s">
        <v>1483</v>
      </c>
      <c r="C89" s="1561">
        <f>P2B!C89*2*1.1</f>
        <v>0</v>
      </c>
      <c r="D89" s="1558">
        <f>P2B!D89*2*1.1</f>
        <v>0</v>
      </c>
      <c r="E89" s="1558">
        <f>P2B!E89*2*1.1</f>
        <v>101.6218324</v>
      </c>
      <c r="F89" s="1559">
        <f>P2B!F89*2*1.1</f>
        <v>0</v>
      </c>
      <c r="G89" s="1559">
        <f>P2B!G89*2*1.1</f>
        <v>0</v>
      </c>
      <c r="H89" s="1560">
        <f>P2B!H89*2*1.1</f>
        <v>101.6218324</v>
      </c>
    </row>
    <row r="90" spans="1:8">
      <c r="A90" s="1448" t="s">
        <v>1106</v>
      </c>
      <c r="B90" s="1430" t="s">
        <v>1430</v>
      </c>
      <c r="C90" s="1561">
        <f>P2B!C90*2*1.1</f>
        <v>0</v>
      </c>
      <c r="D90" s="1558">
        <f>P2B!D90*2*1.1</f>
        <v>0</v>
      </c>
      <c r="E90" s="1558">
        <f>P2B!E90*2*1.1</f>
        <v>300.87188340000006</v>
      </c>
      <c r="F90" s="1559">
        <f>P2B!F90*2*1.1</f>
        <v>0</v>
      </c>
      <c r="G90" s="1559">
        <f>P2B!G90*2*1.1</f>
        <v>0</v>
      </c>
      <c r="H90" s="1560">
        <f>P2B!H90*2*1.1</f>
        <v>300.87188340000006</v>
      </c>
    </row>
    <row r="91" spans="1:8">
      <c r="A91" s="1448" t="s">
        <v>1106</v>
      </c>
      <c r="B91" s="1430" t="s">
        <v>1431</v>
      </c>
      <c r="C91" s="1561">
        <f>P2B!C91*2*1.1</f>
        <v>0</v>
      </c>
      <c r="D91" s="1558">
        <f>P2B!D91*2*1.1</f>
        <v>0</v>
      </c>
      <c r="E91" s="1558">
        <f>P2B!E91*2*1.1</f>
        <v>187.90948</v>
      </c>
      <c r="F91" s="1559">
        <f>P2B!F91*2*1.1</f>
        <v>0</v>
      </c>
      <c r="G91" s="1559">
        <f>P2B!G91*2*1.1</f>
        <v>0</v>
      </c>
      <c r="H91" s="1560">
        <f>P2B!H91*2*1.1</f>
        <v>187.90948</v>
      </c>
    </row>
    <row r="92" spans="1:8">
      <c r="A92" s="1448" t="s">
        <v>1106</v>
      </c>
      <c r="B92" s="1430" t="s">
        <v>2267</v>
      </c>
      <c r="C92" s="1561">
        <f>P2B!C92*2*1.1</f>
        <v>0</v>
      </c>
      <c r="D92" s="1558">
        <f>P2B!D92*2*1.1</f>
        <v>0</v>
      </c>
      <c r="E92" s="1558">
        <f>P2B!E92*2*1.1</f>
        <v>112.79803480000001</v>
      </c>
      <c r="F92" s="1559">
        <f>P2B!F92*2*1.1</f>
        <v>0</v>
      </c>
      <c r="G92" s="1559">
        <f>P2B!G92*2*1.1</f>
        <v>0</v>
      </c>
      <c r="H92" s="1560">
        <f>P2B!H92*2*1.1</f>
        <v>112.79803480000001</v>
      </c>
    </row>
    <row r="93" spans="1:8">
      <c r="A93" s="1448" t="s">
        <v>1106</v>
      </c>
      <c r="B93" s="1430" t="s">
        <v>1485</v>
      </c>
      <c r="C93" s="1561">
        <f>P2B!C93*2*1.1</f>
        <v>0</v>
      </c>
      <c r="D93" s="1558">
        <f>P2B!D93*2*1.1</f>
        <v>0</v>
      </c>
      <c r="E93" s="1558">
        <f>P2B!E93*2*1.1</f>
        <v>370.35995260000004</v>
      </c>
      <c r="F93" s="1559">
        <f>P2B!F93*2*1.1</f>
        <v>0</v>
      </c>
      <c r="G93" s="1559">
        <f>P2B!G93*2*1.1</f>
        <v>0</v>
      </c>
      <c r="H93" s="1560">
        <f>P2B!H93*2*1.1</f>
        <v>370.35995260000004</v>
      </c>
    </row>
    <row r="94" spans="1:8">
      <c r="A94" s="1448" t="s">
        <v>1106</v>
      </c>
      <c r="B94" s="1430" t="s">
        <v>1486</v>
      </c>
      <c r="C94" s="1561">
        <f>P2B!C94*2*1.1</f>
        <v>0</v>
      </c>
      <c r="D94" s="1558">
        <f>P2B!D94*2*1.1</f>
        <v>0</v>
      </c>
      <c r="E94" s="1558">
        <f>P2B!E94*2*1.1</f>
        <v>291.90501340000003</v>
      </c>
      <c r="F94" s="1559">
        <f>P2B!F94*2*1.1</f>
        <v>0</v>
      </c>
      <c r="G94" s="1559">
        <f>P2B!G94*2*1.1</f>
        <v>0</v>
      </c>
      <c r="H94" s="1560">
        <f>P2B!H94*2*1.1</f>
        <v>291.90501340000003</v>
      </c>
    </row>
    <row r="95" spans="1:8">
      <c r="A95" s="1448" t="s">
        <v>1106</v>
      </c>
      <c r="B95" s="1430" t="s">
        <v>1432</v>
      </c>
      <c r="C95" s="1561">
        <f>P2B!C95*2*1.1</f>
        <v>0</v>
      </c>
      <c r="D95" s="1558">
        <f>P2B!D95*2*1.1</f>
        <v>0</v>
      </c>
      <c r="E95" s="1558">
        <f>P2B!E95*2*1.1</f>
        <v>233.40519180000004</v>
      </c>
      <c r="F95" s="1559">
        <f>P2B!F95*2*1.1</f>
        <v>0</v>
      </c>
      <c r="G95" s="1559">
        <f>P2B!G95*2*1.1</f>
        <v>0</v>
      </c>
      <c r="H95" s="1560">
        <f>P2B!H95*2*1.1</f>
        <v>233.40519180000004</v>
      </c>
    </row>
    <row r="96" spans="1:8">
      <c r="A96" s="1448" t="s">
        <v>1106</v>
      </c>
      <c r="B96" s="1430" t="s">
        <v>1433</v>
      </c>
      <c r="C96" s="1561">
        <f>P2B!C96*2*1.1</f>
        <v>0</v>
      </c>
      <c r="D96" s="1558">
        <f>P2B!D96*2*1.1</f>
        <v>0</v>
      </c>
      <c r="E96" s="1558">
        <f>P2B!E96*2*1.1</f>
        <v>284.19491100000005</v>
      </c>
      <c r="F96" s="1559">
        <f>P2B!F96*2*1.1</f>
        <v>0</v>
      </c>
      <c r="G96" s="1559">
        <f>P2B!G96*2*1.1</f>
        <v>0</v>
      </c>
      <c r="H96" s="1560">
        <f>P2B!H96*2*1.1</f>
        <v>284.19491100000005</v>
      </c>
    </row>
    <row r="97" spans="1:8">
      <c r="A97" s="1448" t="s">
        <v>1106</v>
      </c>
      <c r="B97" s="1430" t="s">
        <v>1489</v>
      </c>
      <c r="C97" s="1561">
        <f>P2B!C97*2*1.1</f>
        <v>0</v>
      </c>
      <c r="D97" s="1558">
        <f>P2B!D97*2*1.1</f>
        <v>0</v>
      </c>
      <c r="E97" s="1558">
        <f>P2B!E97*2*1.1</f>
        <v>136.98411100000001</v>
      </c>
      <c r="F97" s="1559">
        <f>P2B!F97*2*1.1</f>
        <v>0</v>
      </c>
      <c r="G97" s="1559">
        <f>P2B!G97*2*1.1</f>
        <v>0</v>
      </c>
      <c r="H97" s="1560">
        <f>P2B!H97*2*1.1</f>
        <v>136.98411100000001</v>
      </c>
    </row>
    <row r="98" spans="1:8">
      <c r="A98" s="1448" t="s">
        <v>1106</v>
      </c>
      <c r="B98" s="1430" t="s">
        <v>1490</v>
      </c>
      <c r="C98" s="1561">
        <f>P2B!C98*2*1.1</f>
        <v>0</v>
      </c>
      <c r="D98" s="1558">
        <f>P2B!D98*2*1.1</f>
        <v>0</v>
      </c>
      <c r="E98" s="1558">
        <f>P2B!E98*2*1.1</f>
        <v>194.76425979999999</v>
      </c>
      <c r="F98" s="1559">
        <f>P2B!F98*2*1.1</f>
        <v>0</v>
      </c>
      <c r="G98" s="1559">
        <f>P2B!G98*2*1.1</f>
        <v>0</v>
      </c>
      <c r="H98" s="1560">
        <f>P2B!H98*2*1.1</f>
        <v>194.76425979999999</v>
      </c>
    </row>
    <row r="99" spans="1:8">
      <c r="A99" s="1448" t="s">
        <v>1106</v>
      </c>
      <c r="B99" s="1430" t="s">
        <v>1491</v>
      </c>
      <c r="C99" s="1561">
        <f>P2B!C99*2*1.1</f>
        <v>0</v>
      </c>
      <c r="D99" s="1558">
        <f>P2B!D99*2*1.1</f>
        <v>0</v>
      </c>
      <c r="E99" s="1558">
        <f>P2B!E99*2*1.1</f>
        <v>295.89640300000002</v>
      </c>
      <c r="F99" s="1559">
        <f>P2B!F99*2*1.1</f>
        <v>0</v>
      </c>
      <c r="G99" s="1559">
        <f>P2B!G99*2*1.1</f>
        <v>0</v>
      </c>
      <c r="H99" s="1560">
        <f>P2B!H99*2*1.1</f>
        <v>295.89640300000002</v>
      </c>
    </row>
    <row r="100" spans="1:8">
      <c r="A100" s="1448" t="s">
        <v>1106</v>
      </c>
      <c r="B100" s="1430" t="s">
        <v>1492</v>
      </c>
      <c r="C100" s="1561">
        <f>P2B!C100*2*1.1</f>
        <v>0</v>
      </c>
      <c r="D100" s="1558">
        <f>P2B!D100*2*1.1</f>
        <v>0</v>
      </c>
      <c r="E100" s="1558">
        <f>P2B!E100*2*1.1</f>
        <v>208.24075360000001</v>
      </c>
      <c r="F100" s="1559">
        <f>P2B!F100*2*1.1</f>
        <v>0</v>
      </c>
      <c r="G100" s="1559">
        <f>P2B!G100*2*1.1</f>
        <v>0</v>
      </c>
      <c r="H100" s="1560">
        <f>P2B!H100*2*1.1</f>
        <v>208.24075360000001</v>
      </c>
    </row>
    <row r="101" spans="1:8">
      <c r="A101" s="1448" t="s">
        <v>1106</v>
      </c>
      <c r="B101" s="1430" t="s">
        <v>1493</v>
      </c>
      <c r="C101" s="1561">
        <f>P2B!C101*2*1.1</f>
        <v>0</v>
      </c>
      <c r="D101" s="1558">
        <f>P2B!D101*2*1.1</f>
        <v>0</v>
      </c>
      <c r="E101" s="1558">
        <f>P2B!E101*2*1.1</f>
        <v>653.97380840000005</v>
      </c>
      <c r="F101" s="1559">
        <f>P2B!F101*2*1.1</f>
        <v>0</v>
      </c>
      <c r="G101" s="1559">
        <f>P2B!G101*2*1.1</f>
        <v>0</v>
      </c>
      <c r="H101" s="1560">
        <f>P2B!H101*2*1.1</f>
        <v>653.97380840000005</v>
      </c>
    </row>
    <row r="102" spans="1:8">
      <c r="A102" s="1448" t="s">
        <v>1106</v>
      </c>
      <c r="B102" s="1430" t="s">
        <v>1702</v>
      </c>
      <c r="C102" s="1561">
        <f>P2B!C102*2*1.1</f>
        <v>0</v>
      </c>
      <c r="D102" s="1558">
        <f>P2B!D102*2*1.1</f>
        <v>0</v>
      </c>
      <c r="E102" s="1558">
        <f>P2B!E102*2*1.1</f>
        <v>105.60108680000002</v>
      </c>
      <c r="F102" s="1559">
        <f>P2B!F102*2*1.1</f>
        <v>0</v>
      </c>
      <c r="G102" s="1559">
        <f>P2B!G102*2*1.1</f>
        <v>0</v>
      </c>
      <c r="H102" s="1560">
        <f>P2B!H102*2*1.1</f>
        <v>105.60108680000002</v>
      </c>
    </row>
    <row r="103" spans="1:8">
      <c r="A103" s="1448" t="s">
        <v>1106</v>
      </c>
      <c r="B103" s="1430" t="s">
        <v>1703</v>
      </c>
      <c r="C103" s="1561">
        <f>P2B!C103*2*1.1</f>
        <v>0</v>
      </c>
      <c r="D103" s="1558">
        <f>P2B!D103*2*1.1</f>
        <v>0</v>
      </c>
      <c r="E103" s="1558">
        <f>P2B!E103*2*1.1</f>
        <v>93.028320000000008</v>
      </c>
      <c r="F103" s="1559">
        <f>P2B!F103*2*1.1</f>
        <v>0</v>
      </c>
      <c r="G103" s="1559">
        <f>P2B!G103*2*1.1</f>
        <v>0</v>
      </c>
      <c r="H103" s="1560">
        <f>P2B!H103*2*1.1</f>
        <v>93.028320000000008</v>
      </c>
    </row>
    <row r="104" spans="1:8">
      <c r="A104" s="1448" t="s">
        <v>1106</v>
      </c>
      <c r="B104" s="1430" t="s">
        <v>1494</v>
      </c>
      <c r="C104" s="1561">
        <f>P2B!C104*2*1.1</f>
        <v>0</v>
      </c>
      <c r="D104" s="1558">
        <f>P2B!D104*2*1.1</f>
        <v>0</v>
      </c>
      <c r="E104" s="1558">
        <f>P2B!E104*2*1.1</f>
        <v>154.35288</v>
      </c>
      <c r="F104" s="1559">
        <f>P2B!F104*2*1.1</f>
        <v>0</v>
      </c>
      <c r="G104" s="1559">
        <f>P2B!G104*2*1.1</f>
        <v>0</v>
      </c>
      <c r="H104" s="1560">
        <f>P2B!H104*2*1.1</f>
        <v>154.35288</v>
      </c>
    </row>
    <row r="105" spans="1:8">
      <c r="A105" s="1448" t="s">
        <v>1106</v>
      </c>
      <c r="B105" s="1430" t="s">
        <v>1704</v>
      </c>
      <c r="C105" s="1561">
        <f>P2B!C105*2*1.1</f>
        <v>0</v>
      </c>
      <c r="D105" s="1558">
        <f>P2B!D105*2*1.1</f>
        <v>0</v>
      </c>
      <c r="E105" s="1558">
        <f>P2B!E105*2*1.1</f>
        <v>91.08</v>
      </c>
      <c r="F105" s="1559">
        <f>P2B!F105*2*1.1</f>
        <v>0</v>
      </c>
      <c r="G105" s="1559">
        <f>P2B!G105*2*1.1</f>
        <v>0</v>
      </c>
      <c r="H105" s="1560">
        <f>P2B!H105*2*1.1</f>
        <v>91.08</v>
      </c>
    </row>
    <row r="106" spans="1:8">
      <c r="A106" s="1448" t="s">
        <v>1106</v>
      </c>
      <c r="B106" s="1430" t="s">
        <v>1705</v>
      </c>
      <c r="C106" s="1561">
        <f>P2B!C106*2*1.1</f>
        <v>0</v>
      </c>
      <c r="D106" s="1558">
        <f>P2B!D106*2*1.1</f>
        <v>0</v>
      </c>
      <c r="E106" s="1558">
        <f>P2B!E106*2*1.1</f>
        <v>10.3931036</v>
      </c>
      <c r="F106" s="1559">
        <f>P2B!F106*2*1.1</f>
        <v>0</v>
      </c>
      <c r="G106" s="1559">
        <f>P2B!G106*2*1.1</f>
        <v>0</v>
      </c>
      <c r="H106" s="1560">
        <f>P2B!H106*2*1.1</f>
        <v>10.3931036</v>
      </c>
    </row>
    <row r="107" spans="1:8">
      <c r="A107" s="1448" t="s">
        <v>1106</v>
      </c>
      <c r="B107" s="1430" t="s">
        <v>1434</v>
      </c>
      <c r="C107" s="1561">
        <f>P2B!C107*2*1.1</f>
        <v>0</v>
      </c>
      <c r="D107" s="1558">
        <f>P2B!D107*2*1.1</f>
        <v>0</v>
      </c>
      <c r="E107" s="1558">
        <f>P2B!E107*2*1.1</f>
        <v>545.66023819999998</v>
      </c>
      <c r="F107" s="1559">
        <f>P2B!F107*2*1.1</f>
        <v>0</v>
      </c>
      <c r="G107" s="1559">
        <f>P2B!G107*2*1.1</f>
        <v>0</v>
      </c>
      <c r="H107" s="1560">
        <f>P2B!H107*2*1.1</f>
        <v>545.66023819999998</v>
      </c>
    </row>
    <row r="108" spans="1:8">
      <c r="A108" s="1448" t="s">
        <v>1106</v>
      </c>
      <c r="B108" s="1430" t="s">
        <v>1495</v>
      </c>
      <c r="C108" s="1561">
        <f>P2B!C108*2*1.1</f>
        <v>0</v>
      </c>
      <c r="D108" s="1558">
        <f>P2B!D108*2*1.1</f>
        <v>0</v>
      </c>
      <c r="E108" s="1558">
        <f>P2B!E108*2*1.1</f>
        <v>415.63101580000006</v>
      </c>
      <c r="F108" s="1559">
        <f>P2B!F108*2*1.1</f>
        <v>0</v>
      </c>
      <c r="G108" s="1559">
        <f>P2B!G108*2*1.1</f>
        <v>0</v>
      </c>
      <c r="H108" s="1560">
        <f>P2B!H108*2*1.1</f>
        <v>415.63101580000006</v>
      </c>
    </row>
    <row r="109" spans="1:8">
      <c r="A109" s="1448" t="s">
        <v>1106</v>
      </c>
      <c r="B109" s="1430" t="s">
        <v>1435</v>
      </c>
      <c r="C109" s="1561">
        <f>P2B!C109*2*1.1</f>
        <v>0</v>
      </c>
      <c r="D109" s="1558">
        <f>P2B!D109*2*1.1</f>
        <v>0</v>
      </c>
      <c r="E109" s="1558">
        <f>P2B!E109*2*1.1</f>
        <v>556.30623620000006</v>
      </c>
      <c r="F109" s="1559">
        <f>P2B!F109*2*1.1</f>
        <v>0</v>
      </c>
      <c r="G109" s="1559">
        <f>P2B!G109*2*1.1</f>
        <v>0</v>
      </c>
      <c r="H109" s="1560">
        <f>P2B!H109*2*1.1</f>
        <v>556.30623620000006</v>
      </c>
    </row>
    <row r="110" spans="1:8">
      <c r="A110" s="1448" t="s">
        <v>1106</v>
      </c>
      <c r="B110" s="1430" t="s">
        <v>1436</v>
      </c>
      <c r="C110" s="1561">
        <f>P2B!C110*2*1.1</f>
        <v>0</v>
      </c>
      <c r="D110" s="1558">
        <f>P2B!D110*2*1.1</f>
        <v>0</v>
      </c>
      <c r="E110" s="1558">
        <f>P2B!E110*2*1.1</f>
        <v>985.88559520000013</v>
      </c>
      <c r="F110" s="1559">
        <f>P2B!F110*2*1.1</f>
        <v>0</v>
      </c>
      <c r="G110" s="1559">
        <f>P2B!G110*2*1.1</f>
        <v>0</v>
      </c>
      <c r="H110" s="1560">
        <f>P2B!H110*2*1.1</f>
        <v>985.88559520000013</v>
      </c>
    </row>
    <row r="111" spans="1:8">
      <c r="A111" s="1448" t="s">
        <v>1106</v>
      </c>
      <c r="B111" s="1430" t="s">
        <v>1437</v>
      </c>
      <c r="C111" s="1561">
        <f>P2B!C111*2*1.1</f>
        <v>0</v>
      </c>
      <c r="D111" s="1558">
        <f>P2B!D111*2*1.1</f>
        <v>0</v>
      </c>
      <c r="E111" s="1558">
        <f>P2B!E111*2*1.1</f>
        <v>82.533829400000002</v>
      </c>
      <c r="F111" s="1559">
        <f>P2B!F111*2*1.1</f>
        <v>0</v>
      </c>
      <c r="G111" s="1559">
        <f>P2B!G111*2*1.1</f>
        <v>0</v>
      </c>
      <c r="H111" s="1560">
        <f>P2B!H111*2*1.1</f>
        <v>82.533829400000002</v>
      </c>
    </row>
    <row r="112" spans="1:8">
      <c r="A112" s="1448" t="s">
        <v>1106</v>
      </c>
      <c r="B112" s="1430" t="s">
        <v>1496</v>
      </c>
      <c r="C112" s="1561">
        <f>P2B!C112*2*1.1</f>
        <v>0</v>
      </c>
      <c r="D112" s="1558">
        <f>P2B!D112*2*1.1</f>
        <v>0</v>
      </c>
      <c r="E112" s="1558">
        <f>P2B!E112*2*1.1</f>
        <v>312.77070220000002</v>
      </c>
      <c r="F112" s="1559">
        <f>P2B!F112*2*1.1</f>
        <v>0</v>
      </c>
      <c r="G112" s="1559">
        <f>P2B!G112*2*1.1</f>
        <v>0</v>
      </c>
      <c r="H112" s="1560">
        <f>P2B!H112*2*1.1</f>
        <v>312.77070220000002</v>
      </c>
    </row>
    <row r="113" spans="1:8">
      <c r="A113" s="1448" t="s">
        <v>1106</v>
      </c>
      <c r="B113" s="1430" t="s">
        <v>1497</v>
      </c>
      <c r="C113" s="1561">
        <f>P2B!C113*2*1.1</f>
        <v>0</v>
      </c>
      <c r="D113" s="1558">
        <f>P2B!D113*2*1.1</f>
        <v>0</v>
      </c>
      <c r="E113" s="1558">
        <f>P2B!E113*2*1.1</f>
        <v>42.442261400000007</v>
      </c>
      <c r="F113" s="1559">
        <f>P2B!F113*2*1.1</f>
        <v>0</v>
      </c>
      <c r="G113" s="1559">
        <f>P2B!G113*2*1.1</f>
        <v>0</v>
      </c>
      <c r="H113" s="1560">
        <f>P2B!H113*2*1.1</f>
        <v>42.442261400000007</v>
      </c>
    </row>
    <row r="114" spans="1:8">
      <c r="A114" s="1448" t="s">
        <v>1106</v>
      </c>
      <c r="B114" s="1430" t="s">
        <v>2268</v>
      </c>
      <c r="C114" s="1561">
        <f>P2B!C114*2*1.1</f>
        <v>0</v>
      </c>
      <c r="D114" s="1558">
        <f>P2B!D114*2*1.1</f>
        <v>0</v>
      </c>
      <c r="E114" s="1558">
        <f>P2B!E114*2*1.1</f>
        <v>88.666160000000005</v>
      </c>
      <c r="F114" s="1559">
        <f>P2B!F114*2*1.1</f>
        <v>0</v>
      </c>
      <c r="G114" s="1559">
        <f>P2B!G114*2*1.1</f>
        <v>0</v>
      </c>
      <c r="H114" s="1560">
        <f>P2B!H114*2*1.1</f>
        <v>88.666160000000005</v>
      </c>
    </row>
    <row r="115" spans="1:8">
      <c r="A115" s="1448" t="s">
        <v>1106</v>
      </c>
      <c r="B115" s="1430" t="s">
        <v>2269</v>
      </c>
      <c r="C115" s="1561">
        <f>P2B!C115*2*1.1</f>
        <v>259.656903</v>
      </c>
      <c r="D115" s="1558">
        <f>P2B!D115*2*1.1</f>
        <v>0</v>
      </c>
      <c r="E115" s="1558">
        <f>P2B!E115*2*1.1</f>
        <v>0</v>
      </c>
      <c r="F115" s="1559">
        <f>P2B!F115*2*1.1</f>
        <v>0</v>
      </c>
      <c r="G115" s="1559">
        <f>P2B!G115*2*1.1</f>
        <v>0</v>
      </c>
      <c r="H115" s="1560">
        <f>P2B!H115*2*1.1</f>
        <v>259.656903</v>
      </c>
    </row>
    <row r="116" spans="1:8">
      <c r="A116" s="1448" t="s">
        <v>1106</v>
      </c>
      <c r="B116" s="1430" t="s">
        <v>1498</v>
      </c>
      <c r="C116" s="1561">
        <f>P2B!C116*2*1.1</f>
        <v>167.29780539999999</v>
      </c>
      <c r="D116" s="1558">
        <f>P2B!D116*2*1.1</f>
        <v>0</v>
      </c>
      <c r="E116" s="1558">
        <f>P2B!E116*2*1.1</f>
        <v>0</v>
      </c>
      <c r="F116" s="1559">
        <f>P2B!F116*2*1.1</f>
        <v>0</v>
      </c>
      <c r="G116" s="1559">
        <f>P2B!G116*2*1.1</f>
        <v>0</v>
      </c>
      <c r="H116" s="1560">
        <f>P2B!H116*2*1.1</f>
        <v>167.29780539999999</v>
      </c>
    </row>
    <row r="117" spans="1:8">
      <c r="A117" s="1448" t="s">
        <v>1106</v>
      </c>
      <c r="B117" s="1430" t="s">
        <v>1504</v>
      </c>
      <c r="C117" s="1561">
        <f>P2B!C117*2*1.1</f>
        <v>59.61288960000001</v>
      </c>
      <c r="D117" s="1558">
        <f>P2B!D117*2*1.1</f>
        <v>0</v>
      </c>
      <c r="E117" s="1558">
        <f>P2B!E117*2*1.1</f>
        <v>0</v>
      </c>
      <c r="F117" s="1559">
        <f>P2B!F117*2*1.1</f>
        <v>0</v>
      </c>
      <c r="G117" s="1559">
        <f>P2B!G117*2*1.1</f>
        <v>0</v>
      </c>
      <c r="H117" s="1560">
        <f>P2B!H117*2*1.1</f>
        <v>59.61288960000001</v>
      </c>
    </row>
    <row r="118" spans="1:8">
      <c r="A118" s="1448" t="s">
        <v>1106</v>
      </c>
      <c r="B118" s="1430" t="s">
        <v>1505</v>
      </c>
      <c r="C118" s="1561">
        <f>P2B!C118*2*1.1</f>
        <v>204.4918854</v>
      </c>
      <c r="D118" s="1558">
        <f>P2B!D118*2*1.1</f>
        <v>0</v>
      </c>
      <c r="E118" s="1558">
        <f>P2B!E118*2*1.1</f>
        <v>0</v>
      </c>
      <c r="F118" s="1559">
        <f>P2B!F118*2*1.1</f>
        <v>0</v>
      </c>
      <c r="G118" s="1559">
        <f>P2B!G118*2*1.1</f>
        <v>0</v>
      </c>
      <c r="H118" s="1560">
        <f>P2B!H118*2*1.1</f>
        <v>204.4918854</v>
      </c>
    </row>
    <row r="119" spans="1:8">
      <c r="A119" s="1448" t="s">
        <v>1106</v>
      </c>
      <c r="B119" s="1430" t="s">
        <v>1717</v>
      </c>
      <c r="C119" s="1561">
        <f>P2B!C119*2*1.1</f>
        <v>75.957200000000014</v>
      </c>
      <c r="D119" s="1558">
        <f>P2B!D119*2*1.1</f>
        <v>0</v>
      </c>
      <c r="E119" s="1558">
        <f>P2B!E119*2*1.1</f>
        <v>0</v>
      </c>
      <c r="F119" s="1559">
        <f>P2B!F119*2*1.1</f>
        <v>0</v>
      </c>
      <c r="G119" s="1559">
        <f>P2B!G119*2*1.1</f>
        <v>0</v>
      </c>
      <c r="H119" s="1560">
        <f>P2B!H119*2*1.1</f>
        <v>75.957200000000014</v>
      </c>
    </row>
    <row r="120" spans="1:8">
      <c r="A120" s="1448" t="s">
        <v>1106</v>
      </c>
      <c r="B120" s="1430" t="s">
        <v>1506</v>
      </c>
      <c r="C120" s="1561">
        <f>P2B!C120*2*1.1</f>
        <v>419.90009380000004</v>
      </c>
      <c r="D120" s="1558">
        <f>P2B!D120*2*1.1</f>
        <v>0</v>
      </c>
      <c r="E120" s="1558">
        <f>P2B!E120*2*1.1</f>
        <v>0</v>
      </c>
      <c r="F120" s="1559">
        <f>P2B!F120*2*1.1</f>
        <v>0</v>
      </c>
      <c r="G120" s="1559">
        <f>P2B!G120*2*1.1</f>
        <v>0</v>
      </c>
      <c r="H120" s="1560">
        <f>P2B!H120*2*1.1</f>
        <v>419.90009380000004</v>
      </c>
    </row>
    <row r="121" spans="1:8">
      <c r="A121" s="1448" t="s">
        <v>1106</v>
      </c>
      <c r="B121" s="1430" t="s">
        <v>1507</v>
      </c>
      <c r="C121" s="1561">
        <f>P2B!C121*2*1.1</f>
        <v>211.02986300000001</v>
      </c>
      <c r="D121" s="1558">
        <f>P2B!D121*2*1.1</f>
        <v>0</v>
      </c>
      <c r="E121" s="1558">
        <f>P2B!E121*2*1.1</f>
        <v>0</v>
      </c>
      <c r="F121" s="1559">
        <f>P2B!F121*2*1.1</f>
        <v>0</v>
      </c>
      <c r="G121" s="1559">
        <f>P2B!G121*2*1.1</f>
        <v>0</v>
      </c>
      <c r="H121" s="1560">
        <f>P2B!H121*2*1.1</f>
        <v>211.02986300000001</v>
      </c>
    </row>
    <row r="122" spans="1:8">
      <c r="A122" s="1448" t="s">
        <v>1106</v>
      </c>
      <c r="B122" s="1430" t="s">
        <v>1438</v>
      </c>
      <c r="C122" s="1561">
        <f>P2B!C122*2*1.1</f>
        <v>326.86407380000003</v>
      </c>
      <c r="D122" s="1558">
        <f>P2B!D122*2*1.1</f>
        <v>0</v>
      </c>
      <c r="E122" s="1558">
        <f>P2B!E122*2*1.1</f>
        <v>0</v>
      </c>
      <c r="F122" s="1559">
        <f>P2B!F122*2*1.1</f>
        <v>0</v>
      </c>
      <c r="G122" s="1559">
        <f>P2B!G122*2*1.1</f>
        <v>0</v>
      </c>
      <c r="H122" s="1560">
        <f>P2B!H122*2*1.1</f>
        <v>326.86407380000003</v>
      </c>
    </row>
    <row r="123" spans="1:8">
      <c r="A123" s="1448" t="s">
        <v>1106</v>
      </c>
      <c r="B123" s="1430" t="s">
        <v>1439</v>
      </c>
      <c r="C123" s="1561">
        <f>P2B!C123*2*1.1</f>
        <v>201.80265160000002</v>
      </c>
      <c r="D123" s="1558">
        <f>P2B!D123*2*1.1</f>
        <v>0</v>
      </c>
      <c r="E123" s="1558">
        <f>P2B!E123*2*1.1</f>
        <v>0</v>
      </c>
      <c r="F123" s="1559">
        <f>P2B!F123*2*1.1</f>
        <v>0</v>
      </c>
      <c r="G123" s="1559">
        <f>P2B!G123*2*1.1</f>
        <v>0</v>
      </c>
      <c r="H123" s="1560">
        <f>P2B!H123*2*1.1</f>
        <v>201.80265160000002</v>
      </c>
    </row>
    <row r="124" spans="1:8">
      <c r="A124" s="1448" t="s">
        <v>1106</v>
      </c>
      <c r="B124" s="1430" t="s">
        <v>1508</v>
      </c>
      <c r="C124" s="1561">
        <f>P2B!C124*2*1.1</f>
        <v>326.17474780000003</v>
      </c>
      <c r="D124" s="1558">
        <f>P2B!D124*2*1.1</f>
        <v>0</v>
      </c>
      <c r="E124" s="1558">
        <f>P2B!E124*2*1.1</f>
        <v>0</v>
      </c>
      <c r="F124" s="1559">
        <f>P2B!F124*2*1.1</f>
        <v>0</v>
      </c>
      <c r="G124" s="1559">
        <f>P2B!G124*2*1.1</f>
        <v>0</v>
      </c>
      <c r="H124" s="1560">
        <f>P2B!H124*2*1.1</f>
        <v>326.17474780000003</v>
      </c>
    </row>
    <row r="125" spans="1:8">
      <c r="A125" s="1448" t="s">
        <v>1106</v>
      </c>
      <c r="B125" s="1430" t="s">
        <v>1509</v>
      </c>
      <c r="C125" s="1561">
        <f>P2B!C125*2*1.1</f>
        <v>356.79419380000002</v>
      </c>
      <c r="D125" s="1558">
        <f>P2B!D125*2*1.1</f>
        <v>0</v>
      </c>
      <c r="E125" s="1558">
        <f>P2B!E125*2*1.1</f>
        <v>0</v>
      </c>
      <c r="F125" s="1559">
        <f>P2B!F125*2*1.1</f>
        <v>0</v>
      </c>
      <c r="G125" s="1559">
        <f>P2B!G125*2*1.1</f>
        <v>0</v>
      </c>
      <c r="H125" s="1560">
        <f>P2B!H125*2*1.1</f>
        <v>356.79419380000002</v>
      </c>
    </row>
    <row r="126" spans="1:8">
      <c r="A126" s="1448" t="s">
        <v>1106</v>
      </c>
      <c r="B126" s="1430" t="s">
        <v>1511</v>
      </c>
      <c r="C126" s="1561">
        <f>P2B!C126*2*1.1</f>
        <v>20.489176400000002</v>
      </c>
      <c r="D126" s="1558">
        <f>P2B!D126*2*1.1</f>
        <v>0</v>
      </c>
      <c r="E126" s="1558">
        <f>P2B!E126*2*1.1</f>
        <v>0</v>
      </c>
      <c r="F126" s="1559">
        <f>P2B!F126*2*1.1</f>
        <v>0</v>
      </c>
      <c r="G126" s="1559">
        <f>P2B!G126*2*1.1</f>
        <v>0</v>
      </c>
      <c r="H126" s="1560">
        <f>P2B!H126*2*1.1</f>
        <v>20.489176400000002</v>
      </c>
    </row>
    <row r="127" spans="1:8">
      <c r="A127" s="1448" t="s">
        <v>1106</v>
      </c>
      <c r="B127" s="1430" t="s">
        <v>1512</v>
      </c>
      <c r="C127" s="1561">
        <f>P2B!C127*2*1.1</f>
        <v>178.8263312</v>
      </c>
      <c r="D127" s="1558">
        <f>P2B!D127*2*1.1</f>
        <v>0</v>
      </c>
      <c r="E127" s="1558">
        <f>P2B!E127*2*1.1</f>
        <v>0</v>
      </c>
      <c r="F127" s="1559">
        <f>P2B!F127*2*1.1</f>
        <v>0</v>
      </c>
      <c r="G127" s="1559">
        <f>P2B!G127*2*1.1</f>
        <v>0</v>
      </c>
      <c r="H127" s="1560">
        <f>P2B!H127*2*1.1</f>
        <v>178.8263312</v>
      </c>
    </row>
    <row r="128" spans="1:8">
      <c r="A128" s="1448" t="s">
        <v>1106</v>
      </c>
      <c r="B128" s="1430" t="s">
        <v>1706</v>
      </c>
      <c r="C128" s="1561">
        <f>P2B!C128*2*1.1</f>
        <v>415.34749960000005</v>
      </c>
      <c r="D128" s="1558">
        <f>P2B!D128*2*1.1</f>
        <v>0</v>
      </c>
      <c r="E128" s="1558">
        <f>P2B!E128*2*1.1</f>
        <v>0</v>
      </c>
      <c r="F128" s="1559">
        <f>P2B!F128*2*1.1</f>
        <v>0</v>
      </c>
      <c r="G128" s="1559">
        <f>P2B!G128*2*1.1</f>
        <v>0</v>
      </c>
      <c r="H128" s="1560">
        <f>P2B!H128*2*1.1</f>
        <v>415.34749960000005</v>
      </c>
    </row>
    <row r="129" spans="1:8">
      <c r="A129" s="1448" t="s">
        <v>1106</v>
      </c>
      <c r="B129" s="1430" t="s">
        <v>1514</v>
      </c>
      <c r="C129" s="1561">
        <f>P2B!C129*2*1.1</f>
        <v>250.36775720000003</v>
      </c>
      <c r="D129" s="1558">
        <f>P2B!D129*2*1.1</f>
        <v>0</v>
      </c>
      <c r="E129" s="1558">
        <f>P2B!E129*2*1.1</f>
        <v>0</v>
      </c>
      <c r="F129" s="1559">
        <f>P2B!F129*2*1.1</f>
        <v>0</v>
      </c>
      <c r="G129" s="1559">
        <f>P2B!G129*2*1.1</f>
        <v>0</v>
      </c>
      <c r="H129" s="1560">
        <f>P2B!H129*2*1.1</f>
        <v>250.36775720000003</v>
      </c>
    </row>
    <row r="130" spans="1:8">
      <c r="A130" s="1448" t="s">
        <v>1106</v>
      </c>
      <c r="B130" s="1430" t="s">
        <v>1440</v>
      </c>
      <c r="C130" s="1561">
        <f>P2B!C130*2*1.1</f>
        <v>637.8489062000001</v>
      </c>
      <c r="D130" s="1558">
        <f>P2B!D130*2*1.1</f>
        <v>0</v>
      </c>
      <c r="E130" s="1558">
        <f>P2B!E130*2*1.1</f>
        <v>0</v>
      </c>
      <c r="F130" s="1559">
        <f>P2B!F130*2*1.1</f>
        <v>0</v>
      </c>
      <c r="G130" s="1559">
        <f>P2B!G130*2*1.1</f>
        <v>0</v>
      </c>
      <c r="H130" s="1560">
        <f>P2B!H130*2*1.1</f>
        <v>637.8489062000001</v>
      </c>
    </row>
    <row r="131" spans="1:8">
      <c r="A131" s="1448" t="s">
        <v>1106</v>
      </c>
      <c r="B131" s="1430" t="s">
        <v>1515</v>
      </c>
      <c r="C131" s="1561">
        <f>P2B!C131*2*1.1</f>
        <v>201.26140100000001</v>
      </c>
      <c r="D131" s="1558">
        <f>P2B!D131*2*1.1</f>
        <v>0</v>
      </c>
      <c r="E131" s="1558">
        <f>P2B!E131*2*1.1</f>
        <v>0</v>
      </c>
      <c r="F131" s="1559">
        <f>P2B!F131*2*1.1</f>
        <v>0</v>
      </c>
      <c r="G131" s="1559">
        <f>P2B!G131*2*1.1</f>
        <v>0</v>
      </c>
      <c r="H131" s="1560">
        <f>P2B!H131*2*1.1</f>
        <v>201.26140100000001</v>
      </c>
    </row>
    <row r="132" spans="1:8">
      <c r="A132" s="1448" t="s">
        <v>1106</v>
      </c>
      <c r="B132" s="1430" t="s">
        <v>1516</v>
      </c>
      <c r="C132" s="1561">
        <f>P2B!C132*2*1.1</f>
        <v>322.3902506</v>
      </c>
      <c r="D132" s="1558">
        <f>P2B!D132*2*1.1</f>
        <v>0</v>
      </c>
      <c r="E132" s="1558">
        <f>P2B!E132*2*1.1</f>
        <v>0</v>
      </c>
      <c r="F132" s="1559">
        <f>P2B!F132*2*1.1</f>
        <v>0</v>
      </c>
      <c r="G132" s="1559">
        <f>P2B!G132*2*1.1</f>
        <v>0</v>
      </c>
      <c r="H132" s="1560">
        <f>P2B!H132*2*1.1</f>
        <v>322.3902506</v>
      </c>
    </row>
    <row r="133" spans="1:8">
      <c r="A133" s="1448" t="s">
        <v>1106</v>
      </c>
      <c r="B133" s="1430" t="s">
        <v>1517</v>
      </c>
      <c r="C133" s="1561">
        <f>P2B!C133*2*1.1</f>
        <v>86.992692600000012</v>
      </c>
      <c r="D133" s="1558">
        <f>P2B!D133*2*1.1</f>
        <v>0</v>
      </c>
      <c r="E133" s="1558">
        <f>P2B!E133*2*1.1</f>
        <v>0</v>
      </c>
      <c r="F133" s="1559">
        <f>P2B!F133*2*1.1</f>
        <v>0</v>
      </c>
      <c r="G133" s="1559">
        <f>P2B!G133*2*1.1</f>
        <v>0</v>
      </c>
      <c r="H133" s="1560">
        <f>P2B!H133*2*1.1</f>
        <v>86.992692600000012</v>
      </c>
    </row>
    <row r="134" spans="1:8">
      <c r="A134" s="1448" t="s">
        <v>1106</v>
      </c>
      <c r="B134" s="1430" t="s">
        <v>1441</v>
      </c>
      <c r="C134" s="1561">
        <f>P2B!C134*2*1.1</f>
        <v>129.77144840000003</v>
      </c>
      <c r="D134" s="1558">
        <f>P2B!D134*2*1.1</f>
        <v>0</v>
      </c>
      <c r="E134" s="1558">
        <f>P2B!E134*2*1.1</f>
        <v>0</v>
      </c>
      <c r="F134" s="1559">
        <f>P2B!F134*2*1.1</f>
        <v>0</v>
      </c>
      <c r="G134" s="1559">
        <f>P2B!G134*2*1.1</f>
        <v>0</v>
      </c>
      <c r="H134" s="1560">
        <f>P2B!H134*2*1.1</f>
        <v>129.77144840000003</v>
      </c>
    </row>
    <row r="135" spans="1:8">
      <c r="A135" s="1448" t="s">
        <v>1106</v>
      </c>
      <c r="B135" s="1430" t="s">
        <v>1519</v>
      </c>
      <c r="C135" s="1561">
        <f>P2B!C135*2*1.1</f>
        <v>165.10746780000002</v>
      </c>
      <c r="D135" s="1558">
        <f>P2B!D135*2*1.1</f>
        <v>0</v>
      </c>
      <c r="E135" s="1558">
        <f>P2B!E135*2*1.1</f>
        <v>0</v>
      </c>
      <c r="F135" s="1559">
        <f>P2B!F135*2*1.1</f>
        <v>0</v>
      </c>
      <c r="G135" s="1559">
        <f>P2B!G135*2*1.1</f>
        <v>0</v>
      </c>
      <c r="H135" s="1560">
        <f>P2B!H135*2*1.1</f>
        <v>165.10746780000002</v>
      </c>
    </row>
    <row r="136" spans="1:8">
      <c r="A136" s="1448" t="s">
        <v>1106</v>
      </c>
      <c r="B136" s="1430" t="s">
        <v>1520</v>
      </c>
      <c r="C136" s="1561">
        <f>P2B!C136*2*1.1</f>
        <v>242.57263360000002</v>
      </c>
      <c r="D136" s="1558">
        <f>P2B!D136*2*1.1</f>
        <v>0</v>
      </c>
      <c r="E136" s="1558">
        <f>P2B!E136*2*1.1</f>
        <v>0</v>
      </c>
      <c r="F136" s="1559">
        <f>P2B!F136*2*1.1</f>
        <v>0</v>
      </c>
      <c r="G136" s="1559">
        <f>P2B!G136*2*1.1</f>
        <v>0</v>
      </c>
      <c r="H136" s="1560">
        <f>P2B!H136*2*1.1</f>
        <v>242.57263360000002</v>
      </c>
    </row>
    <row r="137" spans="1:8">
      <c r="A137" s="1448" t="s">
        <v>1106</v>
      </c>
      <c r="B137" s="1430" t="s">
        <v>1521</v>
      </c>
      <c r="C137" s="1561">
        <f>P2B!C137*2*1.1</f>
        <v>200.86214720000004</v>
      </c>
      <c r="D137" s="1558">
        <f>P2B!D137*2*1.1</f>
        <v>0</v>
      </c>
      <c r="E137" s="1558">
        <f>P2B!E137*2*1.1</f>
        <v>0</v>
      </c>
      <c r="F137" s="1559">
        <f>P2B!F137*2*1.1</f>
        <v>0</v>
      </c>
      <c r="G137" s="1559">
        <f>P2B!G137*2*1.1</f>
        <v>0</v>
      </c>
      <c r="H137" s="1560">
        <f>P2B!H137*2*1.1</f>
        <v>200.86214720000004</v>
      </c>
    </row>
    <row r="138" spans="1:8">
      <c r="A138" s="1448" t="s">
        <v>1106</v>
      </c>
      <c r="B138" s="1430" t="s">
        <v>1522</v>
      </c>
      <c r="C138" s="1561">
        <f>P2B!C138*2*1.1</f>
        <v>82.815854000000002</v>
      </c>
      <c r="D138" s="1558">
        <f>P2B!D138*2*1.1</f>
        <v>0</v>
      </c>
      <c r="E138" s="1558">
        <f>P2B!E138*2*1.1</f>
        <v>0</v>
      </c>
      <c r="F138" s="1559">
        <f>P2B!F138*2*1.1</f>
        <v>0</v>
      </c>
      <c r="G138" s="1559">
        <f>P2B!G138*2*1.1</f>
        <v>0</v>
      </c>
      <c r="H138" s="1560">
        <f>P2B!H138*2*1.1</f>
        <v>82.815854000000002</v>
      </c>
    </row>
    <row r="139" spans="1:8">
      <c r="A139" s="1448" t="s">
        <v>1106</v>
      </c>
      <c r="B139" s="1430" t="s">
        <v>1444</v>
      </c>
      <c r="C139" s="1561">
        <f>P2B!C139*2*1.1</f>
        <v>514.96414860000004</v>
      </c>
      <c r="D139" s="1558">
        <f>P2B!D139*2*1.1</f>
        <v>0</v>
      </c>
      <c r="E139" s="1558">
        <f>P2B!E139*2*1.1</f>
        <v>0</v>
      </c>
      <c r="F139" s="1559">
        <f>P2B!F139*2*1.1</f>
        <v>0</v>
      </c>
      <c r="G139" s="1559">
        <f>P2B!G139*2*1.1</f>
        <v>0</v>
      </c>
      <c r="H139" s="1560">
        <f>P2B!H139*2*1.1</f>
        <v>514.96414860000004</v>
      </c>
    </row>
    <row r="140" spans="1:8">
      <c r="A140" s="1448" t="s">
        <v>1106</v>
      </c>
      <c r="B140" s="1430" t="s">
        <v>1524</v>
      </c>
      <c r="C140" s="1561">
        <f>P2B!C140*2*1.1</f>
        <v>601.81893860000002</v>
      </c>
      <c r="D140" s="1558">
        <f>P2B!D140*2*1.1</f>
        <v>0</v>
      </c>
      <c r="E140" s="1558">
        <f>P2B!E140*2*1.1</f>
        <v>0</v>
      </c>
      <c r="F140" s="1559">
        <f>P2B!F140*2*1.1</f>
        <v>0</v>
      </c>
      <c r="G140" s="1559">
        <f>P2B!G140*2*1.1</f>
        <v>0</v>
      </c>
      <c r="H140" s="1560">
        <f>P2B!H140*2*1.1</f>
        <v>601.81893860000002</v>
      </c>
    </row>
    <row r="141" spans="1:8">
      <c r="A141" s="1448" t="s">
        <v>1106</v>
      </c>
      <c r="B141" s="1430" t="s">
        <v>1525</v>
      </c>
      <c r="C141" s="1561">
        <f>P2B!C141*2*1.1</f>
        <v>109.4258418</v>
      </c>
      <c r="D141" s="1558">
        <f>P2B!D141*2*1.1</f>
        <v>0</v>
      </c>
      <c r="E141" s="1558">
        <f>P2B!E141*2*1.1</f>
        <v>0</v>
      </c>
      <c r="F141" s="1559">
        <f>P2B!F141*2*1.1</f>
        <v>0</v>
      </c>
      <c r="G141" s="1559">
        <f>P2B!G141*2*1.1</f>
        <v>0</v>
      </c>
      <c r="H141" s="1560">
        <f>P2B!H141*2*1.1</f>
        <v>109.4258418</v>
      </c>
    </row>
    <row r="142" spans="1:8">
      <c r="A142" s="1448" t="s">
        <v>1106</v>
      </c>
      <c r="B142" s="1430" t="s">
        <v>1526</v>
      </c>
      <c r="C142" s="1561">
        <f>P2B!C142*2*1.1</f>
        <v>42.290677000000002</v>
      </c>
      <c r="D142" s="1558">
        <f>P2B!D142*2*1.1</f>
        <v>0</v>
      </c>
      <c r="E142" s="1558">
        <f>P2B!E142*2*1.1</f>
        <v>0</v>
      </c>
      <c r="F142" s="1559">
        <f>P2B!F142*2*1.1</f>
        <v>0</v>
      </c>
      <c r="G142" s="1559">
        <f>P2B!G142*2*1.1</f>
        <v>0</v>
      </c>
      <c r="H142" s="1560">
        <f>P2B!H142*2*1.1</f>
        <v>42.290677000000002</v>
      </c>
    </row>
    <row r="143" spans="1:8">
      <c r="A143" s="1448" t="s">
        <v>1106</v>
      </c>
      <c r="B143" s="1430" t="s">
        <v>1527</v>
      </c>
      <c r="C143" s="1561">
        <f>P2B!C143*2*1.1</f>
        <v>47.687096600000004</v>
      </c>
      <c r="D143" s="1558">
        <f>P2B!D143*2*1.1</f>
        <v>0</v>
      </c>
      <c r="E143" s="1558">
        <f>P2B!E143*2*1.1</f>
        <v>0</v>
      </c>
      <c r="F143" s="1559">
        <f>P2B!F143*2*1.1</f>
        <v>0</v>
      </c>
      <c r="G143" s="1559">
        <f>P2B!G143*2*1.1</f>
        <v>0</v>
      </c>
      <c r="H143" s="1560">
        <f>P2B!H143*2*1.1</f>
        <v>47.687096600000004</v>
      </c>
    </row>
    <row r="144" spans="1:8">
      <c r="A144" s="1448" t="s">
        <v>1106</v>
      </c>
      <c r="B144" s="1430" t="s">
        <v>1528</v>
      </c>
      <c r="C144" s="1561">
        <f>P2B!C144*2*1.1</f>
        <v>269.47069379999999</v>
      </c>
      <c r="D144" s="1558">
        <f>P2B!D144*2*1.1</f>
        <v>0</v>
      </c>
      <c r="E144" s="1558">
        <f>P2B!E144*2*1.1</f>
        <v>0</v>
      </c>
      <c r="F144" s="1559">
        <f>P2B!F144*2*1.1</f>
        <v>0</v>
      </c>
      <c r="G144" s="1559">
        <f>P2B!G144*2*1.1</f>
        <v>0</v>
      </c>
      <c r="H144" s="1560">
        <f>P2B!H144*2*1.1</f>
        <v>269.47069379999999</v>
      </c>
    </row>
    <row r="145" spans="1:8">
      <c r="A145" s="1448" t="s">
        <v>1106</v>
      </c>
      <c r="B145" s="1430" t="s">
        <v>1529</v>
      </c>
      <c r="C145" s="1561">
        <f>P2B!C145*2*1.1</f>
        <v>131.744349</v>
      </c>
      <c r="D145" s="1558">
        <f>P2B!D145*2*1.1</f>
        <v>0</v>
      </c>
      <c r="E145" s="1558">
        <f>P2B!E145*2*1.1</f>
        <v>0</v>
      </c>
      <c r="F145" s="1559">
        <f>P2B!F145*2*1.1</f>
        <v>0</v>
      </c>
      <c r="G145" s="1559">
        <f>P2B!G145*2*1.1</f>
        <v>0</v>
      </c>
      <c r="H145" s="1560">
        <f>P2B!H145*2*1.1</f>
        <v>131.744349</v>
      </c>
    </row>
    <row r="146" spans="1:8">
      <c r="A146" s="1448" t="s">
        <v>1106</v>
      </c>
      <c r="B146" s="1430" t="s">
        <v>1530</v>
      </c>
      <c r="C146" s="1561">
        <f>P2B!C146*2*1.1</f>
        <v>151.09607700000001</v>
      </c>
      <c r="D146" s="1558">
        <f>P2B!D146*2*1.1</f>
        <v>0</v>
      </c>
      <c r="E146" s="1558">
        <f>P2B!E146*2*1.1</f>
        <v>0</v>
      </c>
      <c r="F146" s="1559">
        <f>P2B!F146*2*1.1</f>
        <v>0</v>
      </c>
      <c r="G146" s="1559">
        <f>P2B!G146*2*1.1</f>
        <v>0</v>
      </c>
      <c r="H146" s="1560">
        <f>P2B!H146*2*1.1</f>
        <v>151.09607700000001</v>
      </c>
    </row>
    <row r="147" spans="1:8">
      <c r="A147" s="1448" t="s">
        <v>1106</v>
      </c>
      <c r="B147" s="1430" t="s">
        <v>1445</v>
      </c>
      <c r="C147" s="1561">
        <f>P2B!C147*2*1.1</f>
        <v>292.03580560000006</v>
      </c>
      <c r="D147" s="1558">
        <f>P2B!D147*2*1.1</f>
        <v>0</v>
      </c>
      <c r="E147" s="1558">
        <f>P2B!E147*2*1.1</f>
        <v>0</v>
      </c>
      <c r="F147" s="1559">
        <f>P2B!F147*2*1.1</f>
        <v>0</v>
      </c>
      <c r="G147" s="1559">
        <f>P2B!G147*2*1.1</f>
        <v>0</v>
      </c>
      <c r="H147" s="1560">
        <f>P2B!H147*2*1.1</f>
        <v>292.03580560000006</v>
      </c>
    </row>
    <row r="148" spans="1:8">
      <c r="A148" s="1448" t="s">
        <v>1106</v>
      </c>
      <c r="B148" s="1430" t="s">
        <v>1446</v>
      </c>
      <c r="C148" s="1561">
        <f>P2B!C148*2*1.1</f>
        <v>191.8335056</v>
      </c>
      <c r="D148" s="1558">
        <f>P2B!D148*2*1.1</f>
        <v>0</v>
      </c>
      <c r="E148" s="1558">
        <f>P2B!E148*2*1.1</f>
        <v>0</v>
      </c>
      <c r="F148" s="1559">
        <f>P2B!F148*2*1.1</f>
        <v>0</v>
      </c>
      <c r="G148" s="1559">
        <f>P2B!G148*2*1.1</f>
        <v>0</v>
      </c>
      <c r="H148" s="1560">
        <f>P2B!H148*2*1.1</f>
        <v>191.8335056</v>
      </c>
    </row>
    <row r="149" spans="1:8">
      <c r="A149" s="1448" t="s">
        <v>1106</v>
      </c>
      <c r="B149" s="1430" t="s">
        <v>1532</v>
      </c>
      <c r="C149" s="1561">
        <f>P2B!C149*2*1.1</f>
        <v>175.42872819999999</v>
      </c>
      <c r="D149" s="1558">
        <f>P2B!D149*2*1.1</f>
        <v>0</v>
      </c>
      <c r="E149" s="1558">
        <f>P2B!E149*2*1.1</f>
        <v>0</v>
      </c>
      <c r="F149" s="1559">
        <f>P2B!F149*2*1.1</f>
        <v>0</v>
      </c>
      <c r="G149" s="1559">
        <f>P2B!G149*2*1.1</f>
        <v>0</v>
      </c>
      <c r="H149" s="1560">
        <f>P2B!H149*2*1.1</f>
        <v>175.42872819999999</v>
      </c>
    </row>
    <row r="150" spans="1:8">
      <c r="A150" s="1448" t="s">
        <v>1106</v>
      </c>
      <c r="B150" s="1430" t="s">
        <v>1538</v>
      </c>
      <c r="C150" s="1561">
        <f>P2B!C150*2*1.1</f>
        <v>483.97512019999999</v>
      </c>
      <c r="D150" s="1558">
        <f>P2B!D150*2*1.1</f>
        <v>0</v>
      </c>
      <c r="E150" s="1558">
        <f>P2B!E150*2*1.1</f>
        <v>0</v>
      </c>
      <c r="F150" s="1559">
        <f>P2B!F150*2*1.1</f>
        <v>0</v>
      </c>
      <c r="G150" s="1559">
        <f>P2B!G150*2*1.1</f>
        <v>0</v>
      </c>
      <c r="H150" s="1560">
        <f>P2B!H150*2*1.1</f>
        <v>483.97512019999999</v>
      </c>
    </row>
    <row r="151" spans="1:8">
      <c r="A151" s="1448" t="s">
        <v>1106</v>
      </c>
      <c r="B151" s="1430" t="s">
        <v>1533</v>
      </c>
      <c r="C151" s="1561">
        <f>P2B!C151*2*1.1</f>
        <v>282.83447940000002</v>
      </c>
      <c r="D151" s="1558">
        <f>P2B!D151*2*1.1</f>
        <v>0</v>
      </c>
      <c r="E151" s="1558">
        <f>P2B!E151*2*1.1</f>
        <v>0</v>
      </c>
      <c r="F151" s="1559">
        <f>P2B!F151*2*1.1</f>
        <v>0</v>
      </c>
      <c r="G151" s="1559">
        <f>P2B!G151*2*1.1</f>
        <v>0</v>
      </c>
      <c r="H151" s="1560">
        <f>P2B!H151*2*1.1</f>
        <v>282.83447940000002</v>
      </c>
    </row>
    <row r="152" spans="1:8">
      <c r="A152" s="1448" t="s">
        <v>1106</v>
      </c>
      <c r="B152" s="1430" t="s">
        <v>1534</v>
      </c>
      <c r="C152" s="1561">
        <f>P2B!C152*2*1.1</f>
        <v>120.53753800000001</v>
      </c>
      <c r="D152" s="1558">
        <f>P2B!D152*2*1.1</f>
        <v>0</v>
      </c>
      <c r="E152" s="1558">
        <f>P2B!E152*2*1.1</f>
        <v>0</v>
      </c>
      <c r="F152" s="1559">
        <f>P2B!F152*2*1.1</f>
        <v>0</v>
      </c>
      <c r="G152" s="1559">
        <f>P2B!G152*2*1.1</f>
        <v>0</v>
      </c>
      <c r="H152" s="1560">
        <f>P2B!H152*2*1.1</f>
        <v>120.53753800000001</v>
      </c>
    </row>
    <row r="153" spans="1:8">
      <c r="A153" s="1448" t="s">
        <v>1106</v>
      </c>
      <c r="B153" s="1430" t="s">
        <v>1447</v>
      </c>
      <c r="C153" s="1561">
        <f>P2B!C153*2*1.1</f>
        <v>234.13899300000003</v>
      </c>
      <c r="D153" s="1558">
        <f>P2B!D153*2*1.1</f>
        <v>0</v>
      </c>
      <c r="E153" s="1558">
        <f>P2B!E153*2*1.1</f>
        <v>0</v>
      </c>
      <c r="F153" s="1559">
        <f>P2B!F153*2*1.1</f>
        <v>0</v>
      </c>
      <c r="G153" s="1559">
        <f>P2B!G153*2*1.1</f>
        <v>0</v>
      </c>
      <c r="H153" s="1560">
        <f>P2B!H153*2*1.1</f>
        <v>234.13899300000003</v>
      </c>
    </row>
    <row r="154" spans="1:8">
      <c r="A154" s="1448" t="s">
        <v>1106</v>
      </c>
      <c r="B154" s="1430" t="s">
        <v>1535</v>
      </c>
      <c r="C154" s="1561">
        <f>P2B!C154*2*1.1</f>
        <v>173.56310180000003</v>
      </c>
      <c r="D154" s="1558">
        <f>P2B!D154*2*1.1</f>
        <v>0</v>
      </c>
      <c r="E154" s="1558">
        <f>P2B!E154*2*1.1</f>
        <v>0</v>
      </c>
      <c r="F154" s="1559">
        <f>P2B!F154*2*1.1</f>
        <v>0</v>
      </c>
      <c r="G154" s="1559">
        <f>P2B!G154*2*1.1</f>
        <v>0</v>
      </c>
      <c r="H154" s="1560">
        <f>P2B!H154*2*1.1</f>
        <v>173.56310180000003</v>
      </c>
    </row>
    <row r="155" spans="1:8">
      <c r="A155" s="1448" t="s">
        <v>1106</v>
      </c>
      <c r="B155" s="1430" t="s">
        <v>1536</v>
      </c>
      <c r="C155" s="1561">
        <f>P2B!C155*2*1.1</f>
        <v>71.782048799999998</v>
      </c>
      <c r="D155" s="1558">
        <f>P2B!D155*2*1.1</f>
        <v>0</v>
      </c>
      <c r="E155" s="1558">
        <f>P2B!E155*2*1.1</f>
        <v>0</v>
      </c>
      <c r="F155" s="1559">
        <f>P2B!F155*2*1.1</f>
        <v>0</v>
      </c>
      <c r="G155" s="1559">
        <f>P2B!G155*2*1.1</f>
        <v>0</v>
      </c>
      <c r="H155" s="1560">
        <f>P2B!H155*2*1.1</f>
        <v>71.782048799999998</v>
      </c>
    </row>
    <row r="156" spans="1:8">
      <c r="A156" s="1448" t="s">
        <v>1106</v>
      </c>
      <c r="B156" s="1430" t="s">
        <v>1537</v>
      </c>
      <c r="C156" s="1561">
        <f>P2B!C156*2*1.1</f>
        <v>493.27604480000008</v>
      </c>
      <c r="D156" s="1558">
        <f>P2B!D156*2*1.1</f>
        <v>0</v>
      </c>
      <c r="E156" s="1558">
        <f>P2B!E156*2*1.1</f>
        <v>0</v>
      </c>
      <c r="F156" s="1559">
        <f>P2B!F156*2*1.1</f>
        <v>0</v>
      </c>
      <c r="G156" s="1559">
        <f>P2B!G156*2*1.1</f>
        <v>0</v>
      </c>
      <c r="H156" s="1560">
        <f>P2B!H156*2*1.1</f>
        <v>493.27604480000008</v>
      </c>
    </row>
    <row r="157" spans="1:8">
      <c r="A157" s="1448" t="s">
        <v>1106</v>
      </c>
      <c r="B157" s="1430" t="s">
        <v>1448</v>
      </c>
      <c r="C157" s="1561">
        <f>P2B!C157*2*1.1</f>
        <v>551.96936300000004</v>
      </c>
      <c r="D157" s="1558">
        <f>P2B!D157*2*1.1</f>
        <v>0</v>
      </c>
      <c r="E157" s="1558">
        <f>P2B!E157*2*1.1</f>
        <v>0</v>
      </c>
      <c r="F157" s="1559">
        <f>P2B!F157*2*1.1</f>
        <v>0</v>
      </c>
      <c r="G157" s="1559">
        <f>P2B!G157*2*1.1</f>
        <v>0</v>
      </c>
      <c r="H157" s="1560">
        <f>P2B!H157*2*1.1</f>
        <v>551.96936300000004</v>
      </c>
    </row>
    <row r="158" spans="1:8">
      <c r="A158" s="1448" t="s">
        <v>1106</v>
      </c>
      <c r="B158" s="1430" t="s">
        <v>1539</v>
      </c>
      <c r="C158" s="1561">
        <f>P2B!C158*2*1.1</f>
        <v>119.94726260000002</v>
      </c>
      <c r="D158" s="1558">
        <f>P2B!D158*2*1.1</f>
        <v>0</v>
      </c>
      <c r="E158" s="1558">
        <f>P2B!E158*2*1.1</f>
        <v>0</v>
      </c>
      <c r="F158" s="1559">
        <f>P2B!F158*2*1.1</f>
        <v>0</v>
      </c>
      <c r="G158" s="1559">
        <f>P2B!G158*2*1.1</f>
        <v>0</v>
      </c>
      <c r="H158" s="1560">
        <f>P2B!H158*2*1.1</f>
        <v>119.94726260000002</v>
      </c>
    </row>
    <row r="159" spans="1:8">
      <c r="A159" s="1448" t="s">
        <v>1106</v>
      </c>
      <c r="B159" s="1430" t="s">
        <v>1541</v>
      </c>
      <c r="C159" s="1561">
        <f>P2B!C159*2*1.1</f>
        <v>78.055271800000014</v>
      </c>
      <c r="D159" s="1558">
        <f>P2B!D159*2*1.1</f>
        <v>0</v>
      </c>
      <c r="E159" s="1558">
        <f>P2B!E159*2*1.1</f>
        <v>0</v>
      </c>
      <c r="F159" s="1559">
        <f>P2B!F159*2*1.1</f>
        <v>0</v>
      </c>
      <c r="G159" s="1559">
        <f>P2B!G159*2*1.1</f>
        <v>0</v>
      </c>
      <c r="H159" s="1560">
        <f>P2B!H159*2*1.1</f>
        <v>78.055271800000014</v>
      </c>
    </row>
    <row r="160" spans="1:8">
      <c r="A160" s="1448" t="s">
        <v>1106</v>
      </c>
      <c r="B160" s="1430" t="s">
        <v>2270</v>
      </c>
      <c r="C160" s="1561">
        <f>P2B!C160*2*1.1</f>
        <v>243.23294160000003</v>
      </c>
      <c r="D160" s="1558">
        <f>P2B!D160*2*1.1</f>
        <v>0</v>
      </c>
      <c r="E160" s="1558">
        <f>P2B!E160*2*1.1</f>
        <v>0</v>
      </c>
      <c r="F160" s="1559">
        <f>P2B!F160*2*1.1</f>
        <v>0</v>
      </c>
      <c r="G160" s="1559">
        <f>P2B!G160*2*1.1</f>
        <v>0</v>
      </c>
      <c r="H160" s="1560">
        <f>P2B!H160*2*1.1</f>
        <v>243.23294160000003</v>
      </c>
    </row>
    <row r="161" spans="1:8">
      <c r="A161" s="1448" t="s">
        <v>1106</v>
      </c>
      <c r="B161" s="1430" t="s">
        <v>1449</v>
      </c>
      <c r="C161" s="1561">
        <f>P2B!C161*2*1.1</f>
        <v>365.32340020000004</v>
      </c>
      <c r="D161" s="1558">
        <f>P2B!D161*2*1.1</f>
        <v>0</v>
      </c>
      <c r="E161" s="1558">
        <f>P2B!E161*2*1.1</f>
        <v>0</v>
      </c>
      <c r="F161" s="1559">
        <f>P2B!F161*2*1.1</f>
        <v>0</v>
      </c>
      <c r="G161" s="1559">
        <f>P2B!G161*2*1.1</f>
        <v>0</v>
      </c>
      <c r="H161" s="1560">
        <f>P2B!H161*2*1.1</f>
        <v>365.32340020000004</v>
      </c>
    </row>
    <row r="162" spans="1:8">
      <c r="A162" s="1448" t="s">
        <v>1106</v>
      </c>
      <c r="B162" s="1430" t="s">
        <v>1698</v>
      </c>
      <c r="C162" s="1561">
        <f>P2B!C162*2*1.1</f>
        <v>229.97789760000003</v>
      </c>
      <c r="D162" s="1558">
        <f>P2B!D162*2*1.1</f>
        <v>0</v>
      </c>
      <c r="E162" s="1558">
        <f>P2B!E162*2*1.1</f>
        <v>0</v>
      </c>
      <c r="F162" s="1559">
        <f>P2B!F162*2*1.1</f>
        <v>0</v>
      </c>
      <c r="G162" s="1559">
        <f>P2B!G162*2*1.1</f>
        <v>0</v>
      </c>
      <c r="H162" s="1560">
        <f>P2B!H162*2*1.1</f>
        <v>229.97789760000003</v>
      </c>
    </row>
    <row r="163" spans="1:8">
      <c r="A163" s="1448" t="s">
        <v>1106</v>
      </c>
      <c r="B163" s="1430" t="s">
        <v>1699</v>
      </c>
      <c r="C163" s="1561">
        <f>P2B!C163*2*1.1</f>
        <v>395.20023620000001</v>
      </c>
      <c r="D163" s="1558">
        <f>P2B!D163*2*1.1</f>
        <v>0</v>
      </c>
      <c r="E163" s="1558">
        <f>P2B!E163*2*1.1</f>
        <v>0</v>
      </c>
      <c r="F163" s="1559">
        <f>P2B!F163*2*1.1</f>
        <v>0</v>
      </c>
      <c r="G163" s="1559">
        <f>P2B!G163*2*1.1</f>
        <v>0</v>
      </c>
      <c r="H163" s="1560">
        <f>P2B!H163*2*1.1</f>
        <v>395.20023620000001</v>
      </c>
    </row>
    <row r="164" spans="1:8">
      <c r="A164" s="1448" t="s">
        <v>1106</v>
      </c>
      <c r="B164" s="1430" t="s">
        <v>1450</v>
      </c>
      <c r="C164" s="1561">
        <f>P2B!C164*2*1.1</f>
        <v>519.96468040000002</v>
      </c>
      <c r="D164" s="1558">
        <f>P2B!D164*2*1.1</f>
        <v>0</v>
      </c>
      <c r="E164" s="1558">
        <f>P2B!E164*2*1.1</f>
        <v>0</v>
      </c>
      <c r="F164" s="1559">
        <f>P2B!F164*2*1.1</f>
        <v>0</v>
      </c>
      <c r="G164" s="1559">
        <f>P2B!G164*2*1.1</f>
        <v>0</v>
      </c>
      <c r="H164" s="1560">
        <f>P2B!H164*2*1.1</f>
        <v>519.96468040000002</v>
      </c>
    </row>
    <row r="165" spans="1:8">
      <c r="A165" s="1448" t="s">
        <v>1106</v>
      </c>
      <c r="B165" s="1430" t="s">
        <v>1542</v>
      </c>
      <c r="C165" s="1561">
        <f>P2B!C165*2*1.1</f>
        <v>257.39762840000003</v>
      </c>
      <c r="D165" s="1558">
        <f>P2B!D165*2*1.1</f>
        <v>0</v>
      </c>
      <c r="E165" s="1558">
        <f>P2B!E165*2*1.1</f>
        <v>0</v>
      </c>
      <c r="F165" s="1559">
        <f>P2B!F165*2*1.1</f>
        <v>0</v>
      </c>
      <c r="G165" s="1559">
        <f>P2B!G165*2*1.1</f>
        <v>0</v>
      </c>
      <c r="H165" s="1560">
        <f>P2B!H165*2*1.1</f>
        <v>257.39762840000003</v>
      </c>
    </row>
    <row r="166" spans="1:8">
      <c r="A166" s="1448" t="s">
        <v>1106</v>
      </c>
      <c r="B166" s="1430" t="s">
        <v>1700</v>
      </c>
      <c r="C166" s="1561">
        <f>P2B!C166*2*1.1</f>
        <v>25.057430200000002</v>
      </c>
      <c r="D166" s="1558">
        <f>P2B!D166*2*1.1</f>
        <v>0</v>
      </c>
      <c r="E166" s="1558">
        <f>P2B!E166*2*1.1</f>
        <v>0</v>
      </c>
      <c r="F166" s="1559">
        <f>P2B!F166*2*1.1</f>
        <v>0</v>
      </c>
      <c r="G166" s="1559">
        <f>P2B!G166*2*1.1</f>
        <v>0</v>
      </c>
      <c r="H166" s="1560">
        <f>P2B!H166*2*1.1</f>
        <v>25.057430200000002</v>
      </c>
    </row>
    <row r="167" spans="1:8">
      <c r="A167" s="1448" t="s">
        <v>1106</v>
      </c>
      <c r="B167" s="1430" t="s">
        <v>1543</v>
      </c>
      <c r="C167" s="1561">
        <f>P2B!C167*2*1.1</f>
        <v>98.457211600000008</v>
      </c>
      <c r="D167" s="1558">
        <f>P2B!D167*2*1.1</f>
        <v>0</v>
      </c>
      <c r="E167" s="1558">
        <f>P2B!E167*2*1.1</f>
        <v>0</v>
      </c>
      <c r="F167" s="1559">
        <f>P2B!F167*2*1.1</f>
        <v>0</v>
      </c>
      <c r="G167" s="1559">
        <f>P2B!G167*2*1.1</f>
        <v>0</v>
      </c>
      <c r="H167" s="1560">
        <f>P2B!H167*2*1.1</f>
        <v>98.457211600000008</v>
      </c>
    </row>
    <row r="168" spans="1:8">
      <c r="A168" s="1448" t="s">
        <v>1106</v>
      </c>
      <c r="B168" s="1430" t="s">
        <v>1707</v>
      </c>
      <c r="C168" s="1561">
        <f>P2B!C168*2*1.1</f>
        <v>308.12958000000003</v>
      </c>
      <c r="D168" s="1558">
        <f>P2B!D168*2*1.1</f>
        <v>0</v>
      </c>
      <c r="E168" s="1558">
        <f>P2B!E168*2*1.1</f>
        <v>0</v>
      </c>
      <c r="F168" s="1559">
        <f>P2B!F168*2*1.1</f>
        <v>0</v>
      </c>
      <c r="G168" s="1559">
        <f>P2B!G168*2*1.1</f>
        <v>0</v>
      </c>
      <c r="H168" s="1560">
        <f>P2B!H168*2*1.1</f>
        <v>308.12958000000003</v>
      </c>
    </row>
    <row r="169" spans="1:8">
      <c r="A169" s="1448" t="s">
        <v>1106</v>
      </c>
      <c r="B169" s="1430" t="s">
        <v>1708</v>
      </c>
      <c r="C169" s="1561">
        <f>P2B!C169*2*1.1</f>
        <v>0</v>
      </c>
      <c r="D169" s="1558">
        <f>P2B!D169*2*1.1</f>
        <v>0</v>
      </c>
      <c r="E169" s="1558">
        <f>P2B!E169*2*1.1</f>
        <v>0</v>
      </c>
      <c r="F169" s="1559">
        <f>P2B!F169*2*1.1</f>
        <v>0</v>
      </c>
      <c r="G169" s="1559">
        <f>P2B!G169*2*1.1</f>
        <v>0</v>
      </c>
      <c r="H169" s="1560">
        <f>P2B!H169*2*1.1</f>
        <v>0</v>
      </c>
    </row>
    <row r="170" spans="1:8">
      <c r="A170" s="1448" t="s">
        <v>1106</v>
      </c>
      <c r="B170" s="1430" t="s">
        <v>1451</v>
      </c>
      <c r="C170" s="1561">
        <f>P2B!C170*2*1.1</f>
        <v>564.59801200000015</v>
      </c>
      <c r="D170" s="1558">
        <f>P2B!D170*2*1.1</f>
        <v>0</v>
      </c>
      <c r="E170" s="1558">
        <f>P2B!E170*2*1.1</f>
        <v>0</v>
      </c>
      <c r="F170" s="1559">
        <f>P2B!F170*2*1.1</f>
        <v>0</v>
      </c>
      <c r="G170" s="1559">
        <f>P2B!G170*2*1.1</f>
        <v>0</v>
      </c>
      <c r="H170" s="1560">
        <f>P2B!H170*2*1.1</f>
        <v>564.59801200000015</v>
      </c>
    </row>
    <row r="171" spans="1:8">
      <c r="A171" s="1448" t="s">
        <v>1106</v>
      </c>
      <c r="B171" s="1430" t="s">
        <v>1709</v>
      </c>
      <c r="C171" s="1561">
        <f>P2B!C171*2*1.1</f>
        <v>0</v>
      </c>
      <c r="D171" s="1558">
        <f>P2B!D171*2*1.1</f>
        <v>0</v>
      </c>
      <c r="E171" s="1558">
        <f>P2B!E171*2*1.1</f>
        <v>0</v>
      </c>
      <c r="F171" s="1559">
        <f>P2B!F171*2*1.1</f>
        <v>0</v>
      </c>
      <c r="G171" s="1559">
        <f>P2B!G171*2*1.1</f>
        <v>0</v>
      </c>
      <c r="H171" s="1560">
        <f>P2B!H171*2*1.1</f>
        <v>0</v>
      </c>
    </row>
    <row r="172" spans="1:8">
      <c r="A172" s="1448" t="s">
        <v>1106</v>
      </c>
      <c r="B172" s="1430" t="s">
        <v>1546</v>
      </c>
      <c r="C172" s="1561">
        <f>P2B!C172*2*1.1</f>
        <v>142.63612440000003</v>
      </c>
      <c r="D172" s="1558">
        <f>P2B!D172*2*1.1</f>
        <v>0</v>
      </c>
      <c r="E172" s="1558">
        <f>P2B!E172*2*1.1</f>
        <v>0</v>
      </c>
      <c r="F172" s="1559">
        <f>P2B!F172*2*1.1</f>
        <v>0</v>
      </c>
      <c r="G172" s="1559">
        <f>P2B!G172*2*1.1</f>
        <v>0</v>
      </c>
      <c r="H172" s="1560">
        <f>P2B!H172*2*1.1</f>
        <v>142.63612440000003</v>
      </c>
    </row>
    <row r="173" spans="1:8">
      <c r="A173" s="1448" t="s">
        <v>1106</v>
      </c>
      <c r="B173" s="1430" t="s">
        <v>1452</v>
      </c>
      <c r="C173" s="1561">
        <f>P2B!C173*2*1.1</f>
        <v>279.2079774</v>
      </c>
      <c r="D173" s="1558">
        <f>P2B!D173*2*1.1</f>
        <v>0</v>
      </c>
      <c r="E173" s="1558">
        <f>P2B!E173*2*1.1</f>
        <v>0</v>
      </c>
      <c r="F173" s="1559">
        <f>P2B!F173*2*1.1</f>
        <v>0</v>
      </c>
      <c r="G173" s="1559">
        <f>P2B!G173*2*1.1</f>
        <v>0</v>
      </c>
      <c r="H173" s="1560">
        <f>P2B!H173*2*1.1</f>
        <v>279.2079774</v>
      </c>
    </row>
    <row r="174" spans="1:8">
      <c r="A174" s="1448" t="s">
        <v>1106</v>
      </c>
      <c r="B174" s="1430" t="s">
        <v>1453</v>
      </c>
      <c r="C174" s="1561">
        <f>P2B!C174*2*1.1</f>
        <v>220.20522260000001</v>
      </c>
      <c r="D174" s="1558">
        <f>P2B!D174*2*1.1</f>
        <v>0</v>
      </c>
      <c r="E174" s="1558">
        <f>P2B!E174*2*1.1</f>
        <v>0</v>
      </c>
      <c r="F174" s="1559">
        <f>P2B!F174*2*1.1</f>
        <v>0</v>
      </c>
      <c r="G174" s="1559">
        <f>P2B!G174*2*1.1</f>
        <v>0</v>
      </c>
      <c r="H174" s="1560">
        <f>P2B!H174*2*1.1</f>
        <v>220.20522260000001</v>
      </c>
    </row>
    <row r="175" spans="1:8">
      <c r="A175" s="1448" t="s">
        <v>1106</v>
      </c>
      <c r="B175" s="1430" t="s">
        <v>1547</v>
      </c>
      <c r="C175" s="1561">
        <f>P2B!C175*2*1.1</f>
        <v>370.83428360000005</v>
      </c>
      <c r="D175" s="1558">
        <f>P2B!D175*2*1.1</f>
        <v>0</v>
      </c>
      <c r="E175" s="1558">
        <f>P2B!E175*2*1.1</f>
        <v>0</v>
      </c>
      <c r="F175" s="1559">
        <f>P2B!F175*2*1.1</f>
        <v>0</v>
      </c>
      <c r="G175" s="1559">
        <f>P2B!G175*2*1.1</f>
        <v>0</v>
      </c>
      <c r="H175" s="1560">
        <f>P2B!H175*2*1.1</f>
        <v>370.83428360000005</v>
      </c>
    </row>
    <row r="176" spans="1:8">
      <c r="A176" s="1448" t="s">
        <v>1106</v>
      </c>
      <c r="B176" s="1430" t="s">
        <v>1548</v>
      </c>
      <c r="C176" s="1561">
        <f>P2B!C176*2*1.1</f>
        <v>143.90412080000002</v>
      </c>
      <c r="D176" s="1558">
        <f>P2B!D176*2*1.1</f>
        <v>0</v>
      </c>
      <c r="E176" s="1558">
        <f>P2B!E176*2*1.1</f>
        <v>0</v>
      </c>
      <c r="F176" s="1559">
        <f>P2B!F176*2*1.1</f>
        <v>0</v>
      </c>
      <c r="G176" s="1559">
        <f>P2B!G176*2*1.1</f>
        <v>0</v>
      </c>
      <c r="H176" s="1560">
        <f>P2B!H176*2*1.1</f>
        <v>143.90412080000002</v>
      </c>
    </row>
    <row r="177" spans="1:8">
      <c r="A177" s="1448" t="s">
        <v>1106</v>
      </c>
      <c r="B177" s="1430" t="s">
        <v>1499</v>
      </c>
      <c r="C177" s="1561">
        <f>P2B!C177*2*1.1</f>
        <v>297.23464760000007</v>
      </c>
      <c r="D177" s="1558">
        <f>P2B!D177*2*1.1</f>
        <v>0</v>
      </c>
      <c r="E177" s="1558">
        <f>P2B!E177*2*1.1</f>
        <v>0</v>
      </c>
      <c r="F177" s="1559">
        <f>P2B!F177*2*1.1</f>
        <v>0</v>
      </c>
      <c r="G177" s="1559">
        <f>P2B!G177*2*1.1</f>
        <v>0</v>
      </c>
      <c r="H177" s="1560">
        <f>P2B!H177*2*1.1</f>
        <v>297.23464760000007</v>
      </c>
    </row>
    <row r="178" spans="1:8">
      <c r="A178" s="1448" t="s">
        <v>1106</v>
      </c>
      <c r="B178" s="1430" t="s">
        <v>1500</v>
      </c>
      <c r="C178" s="1561">
        <f>P2B!C178*2*1.1</f>
        <v>110.93183860000001</v>
      </c>
      <c r="D178" s="1558">
        <f>P2B!D178*2*1.1</f>
        <v>0</v>
      </c>
      <c r="E178" s="1558">
        <f>P2B!E178*2*1.1</f>
        <v>0</v>
      </c>
      <c r="F178" s="1559">
        <f>P2B!F178*2*1.1</f>
        <v>0</v>
      </c>
      <c r="G178" s="1559">
        <f>P2B!G178*2*1.1</f>
        <v>0</v>
      </c>
      <c r="H178" s="1560">
        <f>P2B!H178*2*1.1</f>
        <v>110.93183860000001</v>
      </c>
    </row>
    <row r="179" spans="1:8">
      <c r="A179" s="1448" t="s">
        <v>1106</v>
      </c>
      <c r="B179" s="1430" t="s">
        <v>1455</v>
      </c>
      <c r="C179" s="1561">
        <f>P2B!C179*2*1.1</f>
        <v>0</v>
      </c>
      <c r="D179" s="1558">
        <f>P2B!D179*2*1.1</f>
        <v>0</v>
      </c>
      <c r="E179" s="1558">
        <f>P2B!E179*2*1.1</f>
        <v>367.86561240000003</v>
      </c>
      <c r="F179" s="1559">
        <f>P2B!F179*2*1.1</f>
        <v>0</v>
      </c>
      <c r="G179" s="1559">
        <f>P2B!G179*2*1.1</f>
        <v>0</v>
      </c>
      <c r="H179" s="1560">
        <f>P2B!H179*2*1.1</f>
        <v>367.86561240000003</v>
      </c>
    </row>
    <row r="180" spans="1:8">
      <c r="A180" s="1448" t="s">
        <v>1106</v>
      </c>
      <c r="B180" s="1430" t="s">
        <v>1456</v>
      </c>
      <c r="C180" s="1561">
        <f>P2B!C180*2*1.1</f>
        <v>0</v>
      </c>
      <c r="D180" s="1558">
        <f>P2B!D180*2*1.1</f>
        <v>0</v>
      </c>
      <c r="E180" s="1558">
        <f>P2B!E180*2*1.1</f>
        <v>77.282024600000014</v>
      </c>
      <c r="F180" s="1559">
        <f>P2B!F180*2*1.1</f>
        <v>0</v>
      </c>
      <c r="G180" s="1559">
        <f>P2B!G180*2*1.1</f>
        <v>0</v>
      </c>
      <c r="H180" s="1560">
        <f>P2B!H180*2*1.1</f>
        <v>77.282024600000014</v>
      </c>
    </row>
    <row r="181" spans="1:8">
      <c r="A181" s="1448" t="s">
        <v>1106</v>
      </c>
      <c r="B181" s="1430" t="s">
        <v>1502</v>
      </c>
      <c r="C181" s="1561">
        <f>P2B!C181*2*1.1</f>
        <v>140.47031900000002</v>
      </c>
      <c r="D181" s="1558">
        <f>P2B!D181*2*1.1</f>
        <v>0</v>
      </c>
      <c r="E181" s="1558">
        <f>P2B!E181*2*1.1</f>
        <v>0</v>
      </c>
      <c r="F181" s="1559">
        <f>P2B!F181*2*1.1</f>
        <v>0</v>
      </c>
      <c r="G181" s="1559">
        <f>P2B!G181*2*1.1</f>
        <v>0</v>
      </c>
      <c r="H181" s="1560">
        <f>P2B!H181*2*1.1</f>
        <v>140.47031900000002</v>
      </c>
    </row>
    <row r="182" spans="1:8">
      <c r="A182" s="1448" t="s">
        <v>1106</v>
      </c>
      <c r="B182" s="1430" t="s">
        <v>1503</v>
      </c>
      <c r="C182" s="1561">
        <f>P2B!C182*2*1.1</f>
        <v>223.90281760000002</v>
      </c>
      <c r="D182" s="1558">
        <f>P2B!D182*2*1.1</f>
        <v>0</v>
      </c>
      <c r="E182" s="1558">
        <f>P2B!E182*2*1.1</f>
        <v>0</v>
      </c>
      <c r="F182" s="1559">
        <f>P2B!F182*2*1.1</f>
        <v>0</v>
      </c>
      <c r="G182" s="1559">
        <f>P2B!G182*2*1.1</f>
        <v>0</v>
      </c>
      <c r="H182" s="1560">
        <f>P2B!H182*2*1.1</f>
        <v>223.90281760000002</v>
      </c>
    </row>
    <row r="183" spans="1:8">
      <c r="A183" s="1448" t="s">
        <v>1106</v>
      </c>
      <c r="B183" s="1430" t="s">
        <v>1710</v>
      </c>
      <c r="C183" s="1561">
        <f>P2B!C183*2*1.1</f>
        <v>0</v>
      </c>
      <c r="D183" s="1558">
        <f>P2B!D183*2*1.1</f>
        <v>0</v>
      </c>
      <c r="E183" s="1558">
        <f>P2B!E183*2*1.1</f>
        <v>90.9371826</v>
      </c>
      <c r="F183" s="1559">
        <f>P2B!F183*2*1.1</f>
        <v>0</v>
      </c>
      <c r="G183" s="1559">
        <f>P2B!G183*2*1.1</f>
        <v>0</v>
      </c>
      <c r="H183" s="1560">
        <f>P2B!H183*2*1.1</f>
        <v>90.9371826</v>
      </c>
    </row>
    <row r="184" spans="1:8">
      <c r="A184" s="1448" t="s">
        <v>1106</v>
      </c>
      <c r="B184" s="1430" t="s">
        <v>1510</v>
      </c>
      <c r="C184" s="1561">
        <f>P2B!C184*2*1.1</f>
        <v>143.00018700000001</v>
      </c>
      <c r="D184" s="1558">
        <f>P2B!D184*2*1.1</f>
        <v>0</v>
      </c>
      <c r="E184" s="1558">
        <f>P2B!E184*2*1.1</f>
        <v>0</v>
      </c>
      <c r="F184" s="1559">
        <f>P2B!F184*2*1.1</f>
        <v>0</v>
      </c>
      <c r="G184" s="1559">
        <f>P2B!G184*2*1.1</f>
        <v>0</v>
      </c>
      <c r="H184" s="1560">
        <f>P2B!H184*2*1.1</f>
        <v>143.00018700000001</v>
      </c>
    </row>
    <row r="185" spans="1:8">
      <c r="A185" s="1448" t="s">
        <v>1106</v>
      </c>
      <c r="B185" s="1430" t="s">
        <v>1513</v>
      </c>
      <c r="C185" s="1561">
        <f>P2B!C185*2*1.1</f>
        <v>325.80213600000002</v>
      </c>
      <c r="D185" s="1558">
        <f>P2B!D185*2*1.1</f>
        <v>0</v>
      </c>
      <c r="E185" s="1558">
        <f>P2B!E185*2*1.1</f>
        <v>0</v>
      </c>
      <c r="F185" s="1559">
        <f>P2B!F185*2*1.1</f>
        <v>0</v>
      </c>
      <c r="G185" s="1559">
        <f>P2B!G185*2*1.1</f>
        <v>0</v>
      </c>
      <c r="H185" s="1560">
        <f>P2B!H185*2*1.1</f>
        <v>325.80213600000002</v>
      </c>
    </row>
    <row r="186" spans="1:8">
      <c r="A186" s="1448" t="s">
        <v>1106</v>
      </c>
      <c r="B186" s="1430" t="s">
        <v>1471</v>
      </c>
      <c r="C186" s="1561">
        <f>P2B!C186*2*1.1</f>
        <v>0</v>
      </c>
      <c r="D186" s="1558">
        <f>P2B!D186*2*1.1</f>
        <v>0</v>
      </c>
      <c r="E186" s="1558">
        <f>P2B!E186*2*1.1</f>
        <v>378.96103960000005</v>
      </c>
      <c r="F186" s="1559">
        <f>P2B!F186*2*1.1</f>
        <v>0</v>
      </c>
      <c r="G186" s="1559">
        <f>P2B!G186*2*1.1</f>
        <v>0</v>
      </c>
      <c r="H186" s="1560">
        <f>P2B!H186*2*1.1</f>
        <v>378.96103960000005</v>
      </c>
    </row>
    <row r="187" spans="1:8">
      <c r="A187" s="1448" t="s">
        <v>1106</v>
      </c>
      <c r="B187" s="1430" t="s">
        <v>1426</v>
      </c>
      <c r="C187" s="1561">
        <f>P2B!C187*2*1.1</f>
        <v>0</v>
      </c>
      <c r="D187" s="1558">
        <f>P2B!D187*2*1.1</f>
        <v>0</v>
      </c>
      <c r="E187" s="1558">
        <f>P2B!E187*2*1.1</f>
        <v>460.08594720000002</v>
      </c>
      <c r="F187" s="1559">
        <f>P2B!F187*2*1.1</f>
        <v>0</v>
      </c>
      <c r="G187" s="1559">
        <f>P2B!G187*2*1.1</f>
        <v>0</v>
      </c>
      <c r="H187" s="1560">
        <f>P2B!H187*2*1.1</f>
        <v>460.08594720000002</v>
      </c>
    </row>
    <row r="188" spans="1:8">
      <c r="A188" s="1448" t="s">
        <v>1106</v>
      </c>
      <c r="B188" s="1430" t="s">
        <v>2271</v>
      </c>
      <c r="C188" s="1561">
        <f>P2B!C188*2*1.1</f>
        <v>0</v>
      </c>
      <c r="D188" s="1558">
        <f>P2B!D188*2*1.1</f>
        <v>0</v>
      </c>
      <c r="E188" s="1558">
        <f>P2B!E188*2*1.1</f>
        <v>138.16576840000002</v>
      </c>
      <c r="F188" s="1559">
        <f>P2B!F188*2*1.1</f>
        <v>0</v>
      </c>
      <c r="G188" s="1559">
        <f>P2B!G188*2*1.1</f>
        <v>0</v>
      </c>
      <c r="H188" s="1560">
        <f>P2B!H188*2*1.1</f>
        <v>138.16576840000002</v>
      </c>
    </row>
    <row r="189" spans="1:8">
      <c r="A189" s="1448" t="s">
        <v>1106</v>
      </c>
      <c r="B189" s="1430" t="s">
        <v>1472</v>
      </c>
      <c r="C189" s="1561">
        <f>P2B!C189*2*1.1</f>
        <v>0</v>
      </c>
      <c r="D189" s="1558">
        <f>P2B!D189*2*1.1</f>
        <v>0</v>
      </c>
      <c r="E189" s="1558">
        <f>P2B!E189*2*1.1</f>
        <v>332.56509220000004</v>
      </c>
      <c r="F189" s="1559">
        <f>P2B!F189*2*1.1</f>
        <v>0</v>
      </c>
      <c r="G189" s="1559">
        <f>P2B!G189*2*1.1</f>
        <v>0</v>
      </c>
      <c r="H189" s="1560">
        <f>P2B!H189*2*1.1</f>
        <v>332.56509220000004</v>
      </c>
    </row>
    <row r="190" spans="1:8">
      <c r="A190" s="1448" t="s">
        <v>1106</v>
      </c>
      <c r="B190" s="1430" t="s">
        <v>1442</v>
      </c>
      <c r="C190" s="1561">
        <f>P2B!C190*2*1.1</f>
        <v>342.22750760000008</v>
      </c>
      <c r="D190" s="1558">
        <f>P2B!D190*2*1.1</f>
        <v>0</v>
      </c>
      <c r="E190" s="1558">
        <f>P2B!E190*2*1.1</f>
        <v>0</v>
      </c>
      <c r="F190" s="1559">
        <f>P2B!F190*2*1.1</f>
        <v>0</v>
      </c>
      <c r="G190" s="1559">
        <f>P2B!G190*2*1.1</f>
        <v>0</v>
      </c>
      <c r="H190" s="1560">
        <f>P2B!H190*2*1.1</f>
        <v>342.22750760000008</v>
      </c>
    </row>
    <row r="191" spans="1:8">
      <c r="A191" s="1448" t="s">
        <v>1106</v>
      </c>
      <c r="B191" s="1430" t="s">
        <v>1518</v>
      </c>
      <c r="C191" s="1561">
        <f>P2B!C191*2*1.1</f>
        <v>277.28857200000004</v>
      </c>
      <c r="D191" s="1558">
        <f>P2B!D191*2*1.1</f>
        <v>0</v>
      </c>
      <c r="E191" s="1558">
        <f>P2B!E191*2*1.1</f>
        <v>0</v>
      </c>
      <c r="F191" s="1559">
        <f>P2B!F191*2*1.1</f>
        <v>0</v>
      </c>
      <c r="G191" s="1559">
        <f>P2B!G191*2*1.1</f>
        <v>0</v>
      </c>
      <c r="H191" s="1560">
        <f>P2B!H191*2*1.1</f>
        <v>277.28857200000004</v>
      </c>
    </row>
    <row r="192" spans="1:8">
      <c r="A192" s="1448" t="s">
        <v>1106</v>
      </c>
      <c r="B192" s="1430" t="s">
        <v>1429</v>
      </c>
      <c r="C192" s="1561">
        <f>P2B!C192*2*1.1</f>
        <v>0</v>
      </c>
      <c r="D192" s="1558">
        <f>P2B!D192*2*1.1</f>
        <v>0</v>
      </c>
      <c r="E192" s="1558">
        <f>P2B!E192*2*1.1</f>
        <v>437.63918660000007</v>
      </c>
      <c r="F192" s="1559">
        <f>P2B!F192*2*1.1</f>
        <v>0</v>
      </c>
      <c r="G192" s="1559">
        <f>P2B!G192*2*1.1</f>
        <v>0</v>
      </c>
      <c r="H192" s="1560">
        <f>P2B!H192*2*1.1</f>
        <v>437.63918660000007</v>
      </c>
    </row>
    <row r="193" spans="1:8">
      <c r="A193" s="1448" t="s">
        <v>1106</v>
      </c>
      <c r="B193" s="1430" t="s">
        <v>1481</v>
      </c>
      <c r="C193" s="1561">
        <f>P2B!C193*2*1.1</f>
        <v>0</v>
      </c>
      <c r="D193" s="1558">
        <f>P2B!D193*2*1.1</f>
        <v>0</v>
      </c>
      <c r="E193" s="1558">
        <f>P2B!E193*2*1.1</f>
        <v>262.29718460000004</v>
      </c>
      <c r="F193" s="1559">
        <f>P2B!F193*2*1.1</f>
        <v>0</v>
      </c>
      <c r="G193" s="1559">
        <f>P2B!G193*2*1.1</f>
        <v>0</v>
      </c>
      <c r="H193" s="1560">
        <f>P2B!H193*2*1.1</f>
        <v>262.29718460000004</v>
      </c>
    </row>
    <row r="194" spans="1:8">
      <c r="A194" s="1448" t="s">
        <v>1106</v>
      </c>
      <c r="B194" s="1430" t="s">
        <v>1531</v>
      </c>
      <c r="C194" s="1561">
        <f>P2B!C194*2*1.1</f>
        <v>585.76966800000002</v>
      </c>
      <c r="D194" s="1558">
        <f>P2B!D194*2*1.1</f>
        <v>0</v>
      </c>
      <c r="E194" s="1558">
        <f>P2B!E194*2*1.1</f>
        <v>0</v>
      </c>
      <c r="F194" s="1559">
        <f>P2B!F194*2*1.1</f>
        <v>0</v>
      </c>
      <c r="G194" s="1559">
        <f>P2B!G194*2*1.1</f>
        <v>0</v>
      </c>
      <c r="H194" s="1560">
        <f>P2B!H194*2*1.1</f>
        <v>585.76966800000002</v>
      </c>
    </row>
    <row r="195" spans="1:8">
      <c r="A195" s="1448" t="s">
        <v>1106</v>
      </c>
      <c r="B195" s="1430" t="s">
        <v>1484</v>
      </c>
      <c r="C195" s="1561">
        <f>P2B!C195*2*1.1</f>
        <v>0</v>
      </c>
      <c r="D195" s="1558">
        <f>P2B!D195*2*1.1</f>
        <v>0</v>
      </c>
      <c r="E195" s="1558">
        <f>P2B!E195*2*1.1</f>
        <v>480.31143820000005</v>
      </c>
      <c r="F195" s="1559">
        <f>P2B!F195*2*1.1</f>
        <v>0</v>
      </c>
      <c r="G195" s="1559">
        <f>P2B!G195*2*1.1</f>
        <v>0</v>
      </c>
      <c r="H195" s="1560">
        <f>P2B!H195*2*1.1</f>
        <v>480.31143820000005</v>
      </c>
    </row>
    <row r="196" spans="1:8">
      <c r="A196" s="1448" t="s">
        <v>1106</v>
      </c>
      <c r="B196" s="1430" t="s">
        <v>1487</v>
      </c>
      <c r="C196" s="1561">
        <f>P2B!C196*2*1.1</f>
        <v>0</v>
      </c>
      <c r="D196" s="1558">
        <f>P2B!D196*2*1.1</f>
        <v>0</v>
      </c>
      <c r="E196" s="1558">
        <f>P2B!E196*2*1.1</f>
        <v>339.99365620000003</v>
      </c>
      <c r="F196" s="1559">
        <f>P2B!F196*2*1.1</f>
        <v>0</v>
      </c>
      <c r="G196" s="1559">
        <f>P2B!G196*2*1.1</f>
        <v>0</v>
      </c>
      <c r="H196" s="1560">
        <f>P2B!H196*2*1.1</f>
        <v>339.99365620000003</v>
      </c>
    </row>
    <row r="197" spans="1:8">
      <c r="A197" s="1448" t="s">
        <v>1106</v>
      </c>
      <c r="B197" s="1430" t="s">
        <v>1488</v>
      </c>
      <c r="C197" s="1561">
        <f>P2B!C197*2*1.1</f>
        <v>0</v>
      </c>
      <c r="D197" s="1558">
        <f>P2B!D197*2*1.1</f>
        <v>0</v>
      </c>
      <c r="E197" s="1558">
        <f>P2B!E197*2*1.1</f>
        <v>125.3521236</v>
      </c>
      <c r="F197" s="1559">
        <f>P2B!F197*2*1.1</f>
        <v>0</v>
      </c>
      <c r="G197" s="1559">
        <f>P2B!G197*2*1.1</f>
        <v>0</v>
      </c>
      <c r="H197" s="1560">
        <f>P2B!H197*2*1.1</f>
        <v>125.3521236</v>
      </c>
    </row>
    <row r="198" spans="1:8">
      <c r="A198" s="1448" t="s">
        <v>1106</v>
      </c>
      <c r="B198" s="1430" t="s">
        <v>1711</v>
      </c>
      <c r="C198" s="1561">
        <f>P2B!C198*2*1.1</f>
        <v>112.4630782</v>
      </c>
      <c r="D198" s="1558">
        <f>P2B!D198*2*1.1</f>
        <v>0</v>
      </c>
      <c r="E198" s="1558">
        <f>P2B!E198*2*1.1</f>
        <v>0</v>
      </c>
      <c r="F198" s="1559">
        <f>P2B!F198*2*1.1</f>
        <v>0</v>
      </c>
      <c r="G198" s="1559">
        <f>P2B!G198*2*1.1</f>
        <v>0</v>
      </c>
      <c r="H198" s="1560">
        <f>P2B!H198*2*1.1</f>
        <v>112.4630782</v>
      </c>
    </row>
    <row r="199" spans="1:8">
      <c r="A199" s="1448" t="s">
        <v>1106</v>
      </c>
      <c r="B199" s="1430" t="s">
        <v>1712</v>
      </c>
      <c r="C199" s="1561">
        <f>P2B!C199*2*1.1</f>
        <v>0</v>
      </c>
      <c r="D199" s="1558">
        <f>P2B!D199*2*1.1</f>
        <v>0</v>
      </c>
      <c r="E199" s="1558">
        <f>P2B!E199*2*1.1</f>
        <v>84.824300000000008</v>
      </c>
      <c r="F199" s="1559">
        <f>P2B!F199*2*1.1</f>
        <v>0</v>
      </c>
      <c r="G199" s="1559">
        <f>P2B!G199*2*1.1</f>
        <v>0</v>
      </c>
      <c r="H199" s="1560">
        <f>P2B!H199*2*1.1</f>
        <v>84.824300000000008</v>
      </c>
    </row>
    <row r="200" spans="1:8">
      <c r="A200" s="1448" t="s">
        <v>1106</v>
      </c>
      <c r="B200" s="1430" t="s">
        <v>1713</v>
      </c>
      <c r="C200" s="1561">
        <f>P2B!C200*2*1.1</f>
        <v>0</v>
      </c>
      <c r="D200" s="1558">
        <f>P2B!D200*2*1.1</f>
        <v>0</v>
      </c>
      <c r="E200" s="1558">
        <f>P2B!E200*2*1.1</f>
        <v>113.12897200000002</v>
      </c>
      <c r="F200" s="1559">
        <f>P2B!F200*2*1.1</f>
        <v>0</v>
      </c>
      <c r="G200" s="1559">
        <f>P2B!G200*2*1.1</f>
        <v>0</v>
      </c>
      <c r="H200" s="1560">
        <f>P2B!H200*2*1.1</f>
        <v>113.12897200000002</v>
      </c>
    </row>
    <row r="201" spans="1:8">
      <c r="A201" s="1448" t="s">
        <v>1106</v>
      </c>
      <c r="B201" s="1430" t="s">
        <v>1545</v>
      </c>
      <c r="C201" s="1561">
        <f>P2B!C201*2*1.1</f>
        <v>127.44385500000001</v>
      </c>
      <c r="D201" s="1558">
        <f>P2B!D201*2*1.1</f>
        <v>0</v>
      </c>
      <c r="E201" s="1558">
        <f>P2B!E201*2*1.1</f>
        <v>0</v>
      </c>
      <c r="F201" s="1559">
        <f>P2B!F201*2*1.1</f>
        <v>0</v>
      </c>
      <c r="G201" s="1559">
        <f>P2B!G201*2*1.1</f>
        <v>0</v>
      </c>
      <c r="H201" s="1560">
        <f>P2B!H201*2*1.1</f>
        <v>127.44385500000001</v>
      </c>
    </row>
    <row r="202" spans="1:8">
      <c r="A202" s="1448" t="s">
        <v>1106</v>
      </c>
      <c r="B202" s="1430" t="s">
        <v>1501</v>
      </c>
      <c r="C202" s="1561">
        <f>P2B!C202*2*1.1</f>
        <v>74.024244800000005</v>
      </c>
      <c r="D202" s="1558">
        <f>P2B!D202*2*1.1</f>
        <v>0</v>
      </c>
      <c r="E202" s="1558">
        <f>P2B!E202*2*1.1</f>
        <v>0</v>
      </c>
      <c r="F202" s="1559">
        <f>P2B!F202*2*1.1</f>
        <v>0</v>
      </c>
      <c r="G202" s="1559">
        <f>P2B!G202*2*1.1</f>
        <v>0</v>
      </c>
      <c r="H202" s="1560">
        <f>P2B!H202*2*1.1</f>
        <v>74.024244800000005</v>
      </c>
    </row>
    <row r="203" spans="1:8">
      <c r="A203" s="1448" t="s">
        <v>1106</v>
      </c>
      <c r="B203" s="1430" t="s">
        <v>1443</v>
      </c>
      <c r="C203" s="1561">
        <f>P2B!C203*2*1.1</f>
        <v>284.08957279999998</v>
      </c>
      <c r="D203" s="1558">
        <f>P2B!D203*2*1.1</f>
        <v>0</v>
      </c>
      <c r="E203" s="1558">
        <f>P2B!E203*2*1.1</f>
        <v>0</v>
      </c>
      <c r="F203" s="1559">
        <f>P2B!F203*2*1.1</f>
        <v>0</v>
      </c>
      <c r="G203" s="1559">
        <f>P2B!G203*2*1.1</f>
        <v>0</v>
      </c>
      <c r="H203" s="1560">
        <f>P2B!H203*2*1.1</f>
        <v>284.08957279999998</v>
      </c>
    </row>
    <row r="204" spans="1:8">
      <c r="A204" s="1448" t="s">
        <v>1106</v>
      </c>
      <c r="B204" s="1430" t="s">
        <v>1523</v>
      </c>
      <c r="C204" s="1561">
        <f>P2B!C204*2*1.1</f>
        <v>205.82958440000002</v>
      </c>
      <c r="D204" s="1558">
        <f>P2B!D204*2*1.1</f>
        <v>0</v>
      </c>
      <c r="E204" s="1558">
        <f>P2B!E204*2*1.1</f>
        <v>0</v>
      </c>
      <c r="F204" s="1559">
        <f>P2B!F204*2*1.1</f>
        <v>0</v>
      </c>
      <c r="G204" s="1559">
        <f>P2B!G204*2*1.1</f>
        <v>0</v>
      </c>
      <c r="H204" s="1560">
        <f>P2B!H204*2*1.1</f>
        <v>205.82958440000002</v>
      </c>
    </row>
    <row r="205" spans="1:8">
      <c r="A205" s="1448" t="s">
        <v>1106</v>
      </c>
      <c r="B205" s="1430" t="s">
        <v>1540</v>
      </c>
      <c r="C205" s="1561">
        <f>P2B!C205*2*1.1</f>
        <v>81.310649200000015</v>
      </c>
      <c r="D205" s="1558">
        <f>P2B!D205*2*1.1</f>
        <v>0</v>
      </c>
      <c r="E205" s="1558">
        <f>P2B!E205*2*1.1</f>
        <v>0</v>
      </c>
      <c r="F205" s="1559">
        <f>P2B!F205*2*1.1</f>
        <v>0</v>
      </c>
      <c r="G205" s="1559">
        <f>P2B!G205*2*1.1</f>
        <v>0</v>
      </c>
      <c r="H205" s="1560">
        <f>P2B!H205*2*1.1</f>
        <v>81.310649200000015</v>
      </c>
    </row>
    <row r="206" spans="1:8">
      <c r="A206" s="1448" t="s">
        <v>1106</v>
      </c>
      <c r="B206" s="1430" t="s">
        <v>1714</v>
      </c>
      <c r="C206" s="1561">
        <f>P2B!C206*2*1.1</f>
        <v>195.49748240000002</v>
      </c>
      <c r="D206" s="1558">
        <f>P2B!D206*2*1.1</f>
        <v>0</v>
      </c>
      <c r="E206" s="1558">
        <f>P2B!E206*2*1.1</f>
        <v>0</v>
      </c>
      <c r="F206" s="1559">
        <f>P2B!F206*2*1.1</f>
        <v>0</v>
      </c>
      <c r="G206" s="1559">
        <f>P2B!G206*2*1.1</f>
        <v>0</v>
      </c>
      <c r="H206" s="1560">
        <f>P2B!H206*2*1.1</f>
        <v>195.49748240000002</v>
      </c>
    </row>
    <row r="207" spans="1:8">
      <c r="A207" s="1448" t="s">
        <v>1106</v>
      </c>
      <c r="B207" s="1430" t="s">
        <v>1544</v>
      </c>
      <c r="C207" s="1561">
        <f>P2B!C207*2*1.1</f>
        <v>474.40790099999998</v>
      </c>
      <c r="D207" s="1558">
        <f>P2B!D207*2*1.1</f>
        <v>0</v>
      </c>
      <c r="E207" s="1558">
        <f>P2B!E207*2*1.1</f>
        <v>0</v>
      </c>
      <c r="F207" s="1559">
        <f>P2B!F207*2*1.1</f>
        <v>0</v>
      </c>
      <c r="G207" s="1559">
        <f>P2B!G207*2*1.1</f>
        <v>0</v>
      </c>
      <c r="H207" s="1560">
        <f>P2B!H207*2*1.1</f>
        <v>474.40790099999998</v>
      </c>
    </row>
    <row r="208" spans="1:8" ht="17.25" thickBot="1">
      <c r="A208" s="1448" t="s">
        <v>1106</v>
      </c>
      <c r="B208" s="1430" t="s">
        <v>1718</v>
      </c>
      <c r="C208" s="1561">
        <f>P2B!C208*2*1.1</f>
        <v>100.87131780000001</v>
      </c>
      <c r="D208" s="1558">
        <f>P2B!D208*2*1.1</f>
        <v>0</v>
      </c>
      <c r="E208" s="1558">
        <f>P2B!E208*2*1.1</f>
        <v>0</v>
      </c>
      <c r="F208" s="1559">
        <f>P2B!F208*2*1.1</f>
        <v>0</v>
      </c>
      <c r="G208" s="1559">
        <f>P2B!G208*2*1.1</f>
        <v>0</v>
      </c>
      <c r="H208" s="1560">
        <f>P2B!H208*2*1.1</f>
        <v>100.87131780000001</v>
      </c>
    </row>
    <row r="209" spans="1:8" ht="17.25" thickBot="1">
      <c r="A209" s="1449" t="s">
        <v>1549</v>
      </c>
      <c r="B209" s="1450" t="s">
        <v>1550</v>
      </c>
      <c r="C209" s="1566">
        <f>P2B!C209*2*1.1</f>
        <v>19762.313879000001</v>
      </c>
      <c r="D209" s="1567">
        <f>P2B!D209*2*1.1</f>
        <v>104.46571520000002</v>
      </c>
      <c r="E209" s="1567">
        <f>P2B!E209*2*1.1</f>
        <v>22391.860893600002</v>
      </c>
      <c r="F209" s="1568">
        <f>P2B!F209*2*1.1</f>
        <v>56.017090800000005</v>
      </c>
      <c r="G209" s="1568">
        <f>P2B!G209*2*1.1</f>
        <v>1033.9224170000002</v>
      </c>
      <c r="H209" s="1565">
        <f>P2B!H209*2*1.1</f>
        <v>43348.579995600005</v>
      </c>
    </row>
    <row r="210" spans="1:8" ht="17.25" thickBot="1">
      <c r="A210" s="2382" t="s">
        <v>1715</v>
      </c>
      <c r="B210" s="2383"/>
      <c r="C210" s="2383"/>
      <c r="D210" s="2383"/>
      <c r="E210" s="2383"/>
      <c r="F210" s="2383"/>
      <c r="G210" s="2384"/>
      <c r="H210" s="1452">
        <f>P2B!H210*2*1.1</f>
        <v>2.9601132000000003</v>
      </c>
    </row>
    <row r="211" spans="1:8" ht="17.25" thickBot="1">
      <c r="A211" s="1451" t="s">
        <v>1025</v>
      </c>
      <c r="B211" s="1441"/>
      <c r="C211" s="1441"/>
      <c r="D211" s="1441"/>
      <c r="E211" s="1441"/>
      <c r="F211" s="1441"/>
      <c r="G211" s="1441"/>
      <c r="H211" s="1452">
        <f>P2B!H211*2*1.1</f>
        <v>43351.5401088</v>
      </c>
    </row>
  </sheetData>
  <mergeCells count="12">
    <mergeCell ref="E6:F6"/>
    <mergeCell ref="A210:G210"/>
    <mergeCell ref="A1:H1"/>
    <mergeCell ref="A2:H2"/>
    <mergeCell ref="A3:H3"/>
    <mergeCell ref="A4:H4"/>
    <mergeCell ref="A5:A7"/>
    <mergeCell ref="B5:B7"/>
    <mergeCell ref="C5:F5"/>
    <mergeCell ref="G5:G7"/>
    <mergeCell ref="H5:H7"/>
    <mergeCell ref="C6:D6"/>
  </mergeCells>
  <conditionalFormatting sqref="I1:I1048576">
    <cfRule type="duplicateValues" dxfId="2" priority="1"/>
  </conditionalFormatting>
  <pageMargins left="0.7" right="0.7" top="0.75" bottom="0.75" header="0.3" footer="0.3"/>
  <pageSetup scale="67"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11"/>
  <sheetViews>
    <sheetView view="pageBreakPreview" zoomScale="60" zoomScaleNormal="80" workbookViewId="0">
      <selection activeCell="H16" sqref="H16"/>
    </sheetView>
  </sheetViews>
  <sheetFormatPr defaultRowHeight="15"/>
  <cols>
    <col min="1" max="1" width="22" style="1401" customWidth="1"/>
    <col min="2" max="2" width="31.28515625" style="1401" customWidth="1"/>
    <col min="3" max="3" width="11" style="1401" customWidth="1"/>
    <col min="4" max="4" width="9" style="1401" customWidth="1"/>
    <col min="5" max="5" width="11" style="1401" customWidth="1"/>
    <col min="6" max="6" width="9" style="1401" customWidth="1"/>
    <col min="7" max="7" width="20.5703125" style="1401" customWidth="1"/>
    <col min="8" max="8" width="20.42578125" style="1454" customWidth="1"/>
    <col min="9" max="9" width="28" style="1401" customWidth="1"/>
    <col min="10" max="16384" width="9.140625" style="1401"/>
  </cols>
  <sheetData>
    <row r="1" spans="1:8" ht="27" customHeight="1" thickBot="1">
      <c r="A1" s="2348" t="s">
        <v>2274</v>
      </c>
      <c r="B1" s="2349"/>
      <c r="C1" s="2349"/>
      <c r="D1" s="2349"/>
      <c r="E1" s="2349"/>
      <c r="F1" s="2349"/>
      <c r="G1" s="2349"/>
      <c r="H1" s="2350"/>
    </row>
    <row r="2" spans="1:8" ht="15.75" customHeight="1" thickBot="1">
      <c r="A2" s="2351" t="s">
        <v>1696</v>
      </c>
      <c r="B2" s="2352"/>
      <c r="C2" s="2352"/>
      <c r="D2" s="2352"/>
      <c r="E2" s="2352"/>
      <c r="F2" s="2352"/>
      <c r="G2" s="2352"/>
      <c r="H2" s="2353"/>
    </row>
    <row r="3" spans="1:8" ht="15" customHeight="1">
      <c r="A3" s="2354" t="s">
        <v>1098</v>
      </c>
      <c r="B3" s="2355"/>
      <c r="C3" s="2355"/>
      <c r="D3" s="2355"/>
      <c r="E3" s="2355"/>
      <c r="F3" s="2355"/>
      <c r="G3" s="2355"/>
      <c r="H3" s="2356"/>
    </row>
    <row r="4" spans="1:8" ht="15.75" customHeight="1" thickBot="1">
      <c r="A4" s="2367" t="s">
        <v>1099</v>
      </c>
      <c r="B4" s="2368"/>
      <c r="C4" s="2368"/>
      <c r="D4" s="2368"/>
      <c r="E4" s="2368"/>
      <c r="F4" s="2368"/>
      <c r="G4" s="2368"/>
      <c r="H4" s="2369"/>
    </row>
    <row r="5" spans="1:8" ht="15.75" customHeight="1" thickBot="1">
      <c r="A5" s="2370" t="s">
        <v>456</v>
      </c>
      <c r="B5" s="2372" t="s">
        <v>434</v>
      </c>
      <c r="C5" s="2374" t="s">
        <v>435</v>
      </c>
      <c r="D5" s="2375"/>
      <c r="E5" s="2375"/>
      <c r="F5" s="2376"/>
      <c r="G5" s="2370" t="s">
        <v>1697</v>
      </c>
      <c r="H5" s="2370" t="s">
        <v>1100</v>
      </c>
    </row>
    <row r="6" spans="1:8" ht="15.75" customHeight="1" thickBot="1">
      <c r="A6" s="2371"/>
      <c r="B6" s="2373"/>
      <c r="C6" s="2348" t="s">
        <v>1101</v>
      </c>
      <c r="D6" s="2349"/>
      <c r="E6" s="2348" t="s">
        <v>1102</v>
      </c>
      <c r="F6" s="2350"/>
      <c r="G6" s="2371"/>
      <c r="H6" s="2371"/>
    </row>
    <row r="7" spans="1:8" ht="30.75" thickBot="1">
      <c r="A7" s="2371"/>
      <c r="B7" s="2373"/>
      <c r="C7" s="1402" t="s">
        <v>1103</v>
      </c>
      <c r="D7" s="1402" t="s">
        <v>1104</v>
      </c>
      <c r="E7" s="1402" t="s">
        <v>1105</v>
      </c>
      <c r="F7" s="1403" t="s">
        <v>1104</v>
      </c>
      <c r="G7" s="2377"/>
      <c r="H7" s="2371"/>
    </row>
    <row r="8" spans="1:8" ht="15.75" thickBot="1">
      <c r="A8" s="1404" t="s">
        <v>363</v>
      </c>
      <c r="B8" s="1405" t="s">
        <v>972</v>
      </c>
      <c r="C8" s="1406" t="s">
        <v>972</v>
      </c>
      <c r="D8" s="1407" t="s">
        <v>972</v>
      </c>
      <c r="E8" s="1407" t="s">
        <v>972</v>
      </c>
      <c r="F8" s="1408" t="s">
        <v>972</v>
      </c>
      <c r="G8" s="1409"/>
      <c r="H8" s="1453" t="s">
        <v>972</v>
      </c>
    </row>
    <row r="9" spans="1:8" ht="15.75" thickBot="1">
      <c r="A9" s="1411"/>
      <c r="B9" s="1412"/>
      <c r="C9" s="1425"/>
      <c r="D9" s="1426"/>
      <c r="E9" s="1426"/>
      <c r="F9" s="1427"/>
      <c r="G9" s="1428"/>
      <c r="H9" s="1569"/>
    </row>
    <row r="10" spans="1:8">
      <c r="A10" s="1418" t="s">
        <v>965</v>
      </c>
      <c r="B10" s="1401" t="s">
        <v>1421</v>
      </c>
      <c r="C10" s="1534">
        <f>P2D!C10*1.1</f>
        <v>0</v>
      </c>
      <c r="D10" s="1534">
        <f>P2D!D10*1.1</f>
        <v>0</v>
      </c>
      <c r="E10" s="1534">
        <f>P2D!E10*1.1</f>
        <v>0</v>
      </c>
      <c r="F10" s="1534">
        <f>P2D!F10*1.1</f>
        <v>0</v>
      </c>
      <c r="G10" s="1534">
        <f>P2D!G10*1.1</f>
        <v>42.877439000000003</v>
      </c>
      <c r="H10" s="1535">
        <f>P2D!H10*1.1</f>
        <v>42.877439000000003</v>
      </c>
    </row>
    <row r="11" spans="1:8">
      <c r="A11" s="1419" t="s">
        <v>965</v>
      </c>
      <c r="B11" s="1401" t="s">
        <v>1420</v>
      </c>
      <c r="C11" s="1534">
        <f>P2D!C11*1.1</f>
        <v>0</v>
      </c>
      <c r="D11" s="1534">
        <f>P2D!D11*1.1</f>
        <v>0</v>
      </c>
      <c r="E11" s="1534">
        <f>P2D!E11*1.1</f>
        <v>112.10956856000001</v>
      </c>
      <c r="F11" s="1534">
        <f>P2D!F11*1.1</f>
        <v>0</v>
      </c>
      <c r="G11" s="1534">
        <f>P2D!G11*1.1</f>
        <v>0</v>
      </c>
      <c r="H11" s="1535">
        <f>P2D!H11*1.1</f>
        <v>112.10956856000001</v>
      </c>
    </row>
    <row r="12" spans="1:8">
      <c r="A12" s="1419" t="s">
        <v>965</v>
      </c>
      <c r="B12" s="1401" t="s">
        <v>1422</v>
      </c>
      <c r="C12" s="1534">
        <f>P2D!C12*1.1</f>
        <v>0</v>
      </c>
      <c r="D12" s="1534">
        <f>P2D!D12*1.1</f>
        <v>0</v>
      </c>
      <c r="E12" s="1534">
        <f>P2D!E12*1.1</f>
        <v>44.682420200000003</v>
      </c>
      <c r="F12" s="1534">
        <f>P2D!F12*1.1</f>
        <v>0</v>
      </c>
      <c r="G12" s="1534">
        <f>P2D!G12*1.1</f>
        <v>0</v>
      </c>
      <c r="H12" s="1535">
        <f>P2D!H12*1.1</f>
        <v>44.682420200000003</v>
      </c>
    </row>
    <row r="13" spans="1:8">
      <c r="A13" s="1419" t="s">
        <v>965</v>
      </c>
      <c r="B13" s="1401" t="s">
        <v>1423</v>
      </c>
      <c r="C13" s="1534">
        <f>P2D!C13*1.1</f>
        <v>0</v>
      </c>
      <c r="D13" s="1534">
        <f>P2D!D13*1.1</f>
        <v>0</v>
      </c>
      <c r="E13" s="1534">
        <f>P2D!E13*1.1</f>
        <v>0</v>
      </c>
      <c r="F13" s="1534">
        <f>P2D!F13*1.1</f>
        <v>0</v>
      </c>
      <c r="G13" s="1534">
        <f>P2D!G13*1.1</f>
        <v>69.488826220000007</v>
      </c>
      <c r="H13" s="1535">
        <f>P2D!H13*1.1</f>
        <v>69.488826220000007</v>
      </c>
    </row>
    <row r="14" spans="1:8">
      <c r="A14" s="1419" t="s">
        <v>965</v>
      </c>
      <c r="B14" s="1401" t="s">
        <v>1424</v>
      </c>
      <c r="C14" s="1534">
        <f>P2D!C14*1.1</f>
        <v>0</v>
      </c>
      <c r="D14" s="1534">
        <f>P2D!D14*1.1</f>
        <v>0</v>
      </c>
      <c r="E14" s="1534">
        <f>P2D!E14*1.1</f>
        <v>0</v>
      </c>
      <c r="F14" s="1534">
        <f>P2D!F14*1.1</f>
        <v>0</v>
      </c>
      <c r="G14" s="1534">
        <f>P2D!G14*1.1</f>
        <v>48.074631000000011</v>
      </c>
      <c r="H14" s="1535">
        <f>P2D!H14*1.1</f>
        <v>48.074631000000011</v>
      </c>
    </row>
    <row r="15" spans="1:8">
      <c r="A15" s="1419" t="s">
        <v>965</v>
      </c>
      <c r="B15" s="1401" t="s">
        <v>1425</v>
      </c>
      <c r="C15" s="1534">
        <f>P2D!C15*1.1</f>
        <v>0</v>
      </c>
      <c r="D15" s="1534">
        <f>P2D!D15*1.1</f>
        <v>0</v>
      </c>
      <c r="E15" s="1534">
        <f>P2D!E15*1.1</f>
        <v>0</v>
      </c>
      <c r="F15" s="1534">
        <f>P2D!F15*1.1</f>
        <v>0</v>
      </c>
      <c r="G15" s="1534">
        <f>P2D!G15*1.1</f>
        <v>43.856546800000011</v>
      </c>
      <c r="H15" s="1535">
        <f>P2D!H15*1.1</f>
        <v>43.856546800000011</v>
      </c>
    </row>
    <row r="16" spans="1:8">
      <c r="A16" s="1419" t="s">
        <v>965</v>
      </c>
      <c r="B16" s="1401" t="s">
        <v>1427</v>
      </c>
      <c r="C16" s="1534">
        <f>P2D!C16*1.1</f>
        <v>0</v>
      </c>
      <c r="D16" s="1534">
        <f>P2D!D16*1.1</f>
        <v>0</v>
      </c>
      <c r="E16" s="1534">
        <f>P2D!E16*1.1</f>
        <v>0</v>
      </c>
      <c r="F16" s="1534">
        <f>P2D!F16*1.1</f>
        <v>0</v>
      </c>
      <c r="G16" s="1534">
        <f>P2D!G16*1.1</f>
        <v>18.535143000000005</v>
      </c>
      <c r="H16" s="1535">
        <f>P2D!H16*1.1</f>
        <v>18.535143000000005</v>
      </c>
    </row>
    <row r="17" spans="1:8">
      <c r="A17" s="1419" t="s">
        <v>965</v>
      </c>
      <c r="B17" s="1401" t="s">
        <v>1428</v>
      </c>
      <c r="C17" s="1534">
        <f>P2D!C17*1.1</f>
        <v>0</v>
      </c>
      <c r="D17" s="1534">
        <f>P2D!D17*1.1</f>
        <v>0</v>
      </c>
      <c r="E17" s="1534">
        <f>P2D!E17*1.1</f>
        <v>0</v>
      </c>
      <c r="F17" s="1534">
        <f>P2D!F17*1.1</f>
        <v>0</v>
      </c>
      <c r="G17" s="1534">
        <f>P2D!G17*1.1</f>
        <v>35.362298400000007</v>
      </c>
      <c r="H17" s="1535">
        <f>P2D!H17*1.1</f>
        <v>35.362298400000007</v>
      </c>
    </row>
    <row r="18" spans="1:8">
      <c r="A18" s="1419" t="s">
        <v>965</v>
      </c>
      <c r="B18" s="1401" t="s">
        <v>1476</v>
      </c>
      <c r="C18" s="1534">
        <f>P2D!C18*1.1</f>
        <v>0</v>
      </c>
      <c r="D18" s="1534">
        <f>P2D!D18*1.1</f>
        <v>0</v>
      </c>
      <c r="E18" s="1534">
        <f>P2D!E18*1.1</f>
        <v>0</v>
      </c>
      <c r="F18" s="1534">
        <f>P2D!F18*1.1</f>
        <v>0</v>
      </c>
      <c r="G18" s="1534">
        <f>P2D!G18*1.1</f>
        <v>113.33986994000003</v>
      </c>
      <c r="H18" s="1535">
        <f>P2D!H18*1.1</f>
        <v>113.33986994000003</v>
      </c>
    </row>
    <row r="19" spans="1:8">
      <c r="A19" s="1419" t="s">
        <v>965</v>
      </c>
      <c r="B19" s="1401" t="s">
        <v>1480</v>
      </c>
      <c r="C19" s="1534">
        <f>P2D!C19*1.1</f>
        <v>0</v>
      </c>
      <c r="D19" s="1534">
        <f>P2D!D19*1.1</f>
        <v>0</v>
      </c>
      <c r="E19" s="1534">
        <f>P2D!E19*1.1</f>
        <v>0</v>
      </c>
      <c r="F19" s="1534">
        <f>P2D!F19*1.1</f>
        <v>24.015968680000004</v>
      </c>
      <c r="G19" s="1534">
        <f>P2D!G19*1.1</f>
        <v>0</v>
      </c>
      <c r="H19" s="1535">
        <f>P2D!H19*1.1</f>
        <v>24.015968680000004</v>
      </c>
    </row>
    <row r="20" spans="1:8">
      <c r="A20" s="1419" t="s">
        <v>965</v>
      </c>
      <c r="B20" s="1401" t="s">
        <v>1430</v>
      </c>
      <c r="C20" s="1534">
        <f>P2D!C20*1.1</f>
        <v>0</v>
      </c>
      <c r="D20" s="1534">
        <f>P2D!D20*1.1</f>
        <v>0</v>
      </c>
      <c r="E20" s="1534">
        <f>P2D!E20*1.1</f>
        <v>0.33586212000000004</v>
      </c>
      <c r="F20" s="1534">
        <f>P2D!F20*1.1</f>
        <v>0</v>
      </c>
      <c r="G20" s="1534">
        <f>P2D!G20*1.1</f>
        <v>88.402016780000011</v>
      </c>
      <c r="H20" s="1535">
        <f>P2D!H20*1.1</f>
        <v>88.737878900000027</v>
      </c>
    </row>
    <row r="21" spans="1:8">
      <c r="A21" s="1419" t="s">
        <v>965</v>
      </c>
      <c r="B21" s="1401" t="s">
        <v>1431</v>
      </c>
      <c r="C21" s="1534">
        <f>P2D!C21*1.1</f>
        <v>0</v>
      </c>
      <c r="D21" s="1534">
        <f>P2D!D21*1.1</f>
        <v>0</v>
      </c>
      <c r="E21" s="1534">
        <f>P2D!E21*1.1</f>
        <v>2.8782705600000007</v>
      </c>
      <c r="F21" s="1534">
        <f>P2D!F21*1.1</f>
        <v>0</v>
      </c>
      <c r="G21" s="1534">
        <f>P2D!G21*1.1</f>
        <v>0</v>
      </c>
      <c r="H21" s="1535">
        <f>P2D!H21*1.1</f>
        <v>2.8782705600000007</v>
      </c>
    </row>
    <row r="22" spans="1:8">
      <c r="A22" s="1419" t="s">
        <v>965</v>
      </c>
      <c r="B22" s="1401" t="s">
        <v>1432</v>
      </c>
      <c r="C22" s="1534">
        <f>P2D!C22*1.1</f>
        <v>0</v>
      </c>
      <c r="D22" s="1534">
        <f>P2D!D22*1.1</f>
        <v>0</v>
      </c>
      <c r="E22" s="1534">
        <f>P2D!E22*1.1</f>
        <v>0.30583233999999998</v>
      </c>
      <c r="F22" s="1534">
        <f>P2D!F22*1.1</f>
        <v>0</v>
      </c>
      <c r="G22" s="1534">
        <f>P2D!G22*1.1</f>
        <v>0</v>
      </c>
      <c r="H22" s="1535">
        <f>P2D!H22*1.1</f>
        <v>0.30583233999999998</v>
      </c>
    </row>
    <row r="23" spans="1:8">
      <c r="A23" s="1419" t="s">
        <v>965</v>
      </c>
      <c r="B23" s="1401" t="s">
        <v>1433</v>
      </c>
      <c r="C23" s="1534">
        <f>P2D!C23*1.1</f>
        <v>0</v>
      </c>
      <c r="D23" s="1534">
        <f>P2D!D23*1.1</f>
        <v>0</v>
      </c>
      <c r="E23" s="1534">
        <f>P2D!E23*1.1</f>
        <v>0</v>
      </c>
      <c r="F23" s="1534">
        <f>P2D!F23*1.1</f>
        <v>0</v>
      </c>
      <c r="G23" s="1534">
        <f>P2D!G23*1.1</f>
        <v>78.755633000000003</v>
      </c>
      <c r="H23" s="1535">
        <f>P2D!H23*1.1</f>
        <v>78.755633000000003</v>
      </c>
    </row>
    <row r="24" spans="1:8">
      <c r="A24" s="1419" t="s">
        <v>965</v>
      </c>
      <c r="B24" s="1401" t="s">
        <v>1434</v>
      </c>
      <c r="C24" s="1534">
        <f>P2D!C24*1.1</f>
        <v>0</v>
      </c>
      <c r="D24" s="1534">
        <f>P2D!D24*1.1</f>
        <v>0</v>
      </c>
      <c r="E24" s="1534">
        <f>P2D!E24*1.1</f>
        <v>0</v>
      </c>
      <c r="F24" s="1534">
        <f>P2D!F24*1.1</f>
        <v>37.602831200000004</v>
      </c>
      <c r="G24" s="1534">
        <f>P2D!G24*1.1</f>
        <v>0</v>
      </c>
      <c r="H24" s="1535">
        <f>P2D!H24*1.1</f>
        <v>37.602831200000004</v>
      </c>
    </row>
    <row r="25" spans="1:8">
      <c r="A25" s="1419" t="s">
        <v>965</v>
      </c>
      <c r="B25" s="1401" t="s">
        <v>1435</v>
      </c>
      <c r="C25" s="1534">
        <f>P2D!C25*1.1</f>
        <v>0</v>
      </c>
      <c r="D25" s="1534">
        <f>P2D!D25*1.1</f>
        <v>0</v>
      </c>
      <c r="E25" s="1534">
        <f>P2D!E25*1.1</f>
        <v>62.180297960000004</v>
      </c>
      <c r="F25" s="1534">
        <f>P2D!F25*1.1</f>
        <v>0</v>
      </c>
      <c r="G25" s="1534">
        <f>P2D!G25*1.1</f>
        <v>46.180618000000003</v>
      </c>
      <c r="H25" s="1535">
        <f>P2D!H25*1.1</f>
        <v>108.36091596000001</v>
      </c>
    </row>
    <row r="26" spans="1:8">
      <c r="A26" s="1419" t="s">
        <v>965</v>
      </c>
      <c r="B26" s="1401" t="s">
        <v>1436</v>
      </c>
      <c r="C26" s="1534">
        <f>P2D!C26*1.1</f>
        <v>0</v>
      </c>
      <c r="D26" s="1534">
        <f>P2D!D26*1.1</f>
        <v>0</v>
      </c>
      <c r="E26" s="1534">
        <f>P2D!E26*1.1</f>
        <v>0</v>
      </c>
      <c r="F26" s="1534">
        <f>P2D!F26*1.1</f>
        <v>0</v>
      </c>
      <c r="G26" s="1534">
        <f>P2D!G26*1.1</f>
        <v>53.121662000000015</v>
      </c>
      <c r="H26" s="1535">
        <f>P2D!H26*1.1</f>
        <v>53.121662000000015</v>
      </c>
    </row>
    <row r="27" spans="1:8">
      <c r="A27" s="1419" t="s">
        <v>965</v>
      </c>
      <c r="B27" s="1401" t="s">
        <v>1506</v>
      </c>
      <c r="C27" s="1534">
        <f>P2D!C27*1.1</f>
        <v>0</v>
      </c>
      <c r="D27" s="1534">
        <f>P2D!D27*1.1</f>
        <v>16.666646480000004</v>
      </c>
      <c r="E27" s="1534">
        <f>P2D!E27*1.1</f>
        <v>0</v>
      </c>
      <c r="F27" s="1534">
        <f>P2D!F27*1.1</f>
        <v>0</v>
      </c>
      <c r="G27" s="1534">
        <f>P2D!G27*1.1</f>
        <v>0</v>
      </c>
      <c r="H27" s="1535">
        <f>P2D!H27*1.1</f>
        <v>16.666646480000004</v>
      </c>
    </row>
    <row r="28" spans="1:8">
      <c r="A28" s="1419" t="s">
        <v>965</v>
      </c>
      <c r="B28" s="1401" t="s">
        <v>1438</v>
      </c>
      <c r="C28" s="1534">
        <f>P2D!C28*1.1</f>
        <v>0</v>
      </c>
      <c r="D28" s="1534">
        <f>P2D!D28*1.1</f>
        <v>0</v>
      </c>
      <c r="E28" s="1534">
        <f>P2D!E28*1.1</f>
        <v>0</v>
      </c>
      <c r="F28" s="1534">
        <f>P2D!F28*1.1</f>
        <v>0</v>
      </c>
      <c r="G28" s="1534">
        <f>P2D!G28*1.1</f>
        <v>44.524183660000006</v>
      </c>
      <c r="H28" s="1535">
        <f>P2D!H28*1.1</f>
        <v>44.524183660000006</v>
      </c>
    </row>
    <row r="29" spans="1:8">
      <c r="A29" s="1419" t="s">
        <v>965</v>
      </c>
      <c r="B29" s="1401" t="s">
        <v>1439</v>
      </c>
      <c r="C29" s="1534">
        <f>P2D!C29*1.1</f>
        <v>0</v>
      </c>
      <c r="D29" s="1534">
        <f>P2D!D29*1.1</f>
        <v>0</v>
      </c>
      <c r="E29" s="1534">
        <f>P2D!E29*1.1</f>
        <v>0</v>
      </c>
      <c r="F29" s="1534">
        <f>P2D!F29*1.1</f>
        <v>0</v>
      </c>
      <c r="G29" s="1534">
        <f>P2D!G29*1.1</f>
        <v>51.191349000000002</v>
      </c>
      <c r="H29" s="1535">
        <f>P2D!H29*1.1</f>
        <v>51.191349000000002</v>
      </c>
    </row>
    <row r="30" spans="1:8">
      <c r="A30" s="1419" t="s">
        <v>965</v>
      </c>
      <c r="B30" s="1401" t="s">
        <v>1440</v>
      </c>
      <c r="C30" s="1534">
        <f>P2D!C30*1.1</f>
        <v>0</v>
      </c>
      <c r="D30" s="1534">
        <f>P2D!D30*1.1</f>
        <v>0</v>
      </c>
      <c r="E30" s="1534">
        <f>P2D!E30*1.1</f>
        <v>0</v>
      </c>
      <c r="F30" s="1534">
        <f>P2D!F30*1.1</f>
        <v>0</v>
      </c>
      <c r="G30" s="1534">
        <f>P2D!G30*1.1</f>
        <v>45.643257000000006</v>
      </c>
      <c r="H30" s="1535">
        <f>P2D!H30*1.1</f>
        <v>45.643257000000006</v>
      </c>
    </row>
    <row r="31" spans="1:8">
      <c r="A31" s="1419" t="s">
        <v>965</v>
      </c>
      <c r="B31" s="1401" t="s">
        <v>1441</v>
      </c>
      <c r="C31" s="1534">
        <f>P2D!C31*1.1</f>
        <v>434.67130806000006</v>
      </c>
      <c r="D31" s="1534">
        <f>P2D!D31*1.1</f>
        <v>0</v>
      </c>
      <c r="E31" s="1534">
        <f>P2D!E31*1.1</f>
        <v>0</v>
      </c>
      <c r="F31" s="1534">
        <f>P2D!F31*1.1</f>
        <v>0</v>
      </c>
      <c r="G31" s="1534">
        <f>P2D!G31*1.1</f>
        <v>0</v>
      </c>
      <c r="H31" s="1535">
        <f>P2D!H31*1.1</f>
        <v>434.67130806000006</v>
      </c>
    </row>
    <row r="32" spans="1:8">
      <c r="A32" s="1419" t="s">
        <v>965</v>
      </c>
      <c r="B32" s="1401" t="s">
        <v>1444</v>
      </c>
      <c r="C32" s="1534">
        <f>P2D!C32*1.1</f>
        <v>0.85382198000000009</v>
      </c>
      <c r="D32" s="1534">
        <f>P2D!D32*1.1</f>
        <v>15.047337360000002</v>
      </c>
      <c r="E32" s="1534">
        <f>P2D!E32*1.1</f>
        <v>0</v>
      </c>
      <c r="F32" s="1534">
        <f>P2D!F32*1.1</f>
        <v>0</v>
      </c>
      <c r="G32" s="1534">
        <f>P2D!G32*1.1</f>
        <v>0</v>
      </c>
      <c r="H32" s="1535">
        <f>P2D!H32*1.1</f>
        <v>15.901159340000001</v>
      </c>
    </row>
    <row r="33" spans="1:8">
      <c r="A33" s="1419" t="s">
        <v>965</v>
      </c>
      <c r="B33" s="1401" t="s">
        <v>1525</v>
      </c>
      <c r="C33" s="1534">
        <f>P2D!C33*1.1</f>
        <v>1.0709734200000003</v>
      </c>
      <c r="D33" s="1534">
        <f>P2D!D33*1.1</f>
        <v>0</v>
      </c>
      <c r="E33" s="1534">
        <f>P2D!E33*1.1</f>
        <v>0</v>
      </c>
      <c r="F33" s="1534">
        <f>P2D!F33*1.1</f>
        <v>0</v>
      </c>
      <c r="G33" s="1534">
        <f>P2D!G33*1.1</f>
        <v>0</v>
      </c>
      <c r="H33" s="1535">
        <f>P2D!H33*1.1</f>
        <v>1.0709734200000003</v>
      </c>
    </row>
    <row r="34" spans="1:8">
      <c r="A34" s="1419" t="s">
        <v>965</v>
      </c>
      <c r="B34" s="1401" t="s">
        <v>1528</v>
      </c>
      <c r="C34" s="1534">
        <f>P2D!C34*1.1</f>
        <v>0</v>
      </c>
      <c r="D34" s="1534">
        <f>P2D!D34*1.1</f>
        <v>20.975103160000007</v>
      </c>
      <c r="E34" s="1534">
        <f>P2D!E34*1.1</f>
        <v>0</v>
      </c>
      <c r="F34" s="1534">
        <f>P2D!F34*1.1</f>
        <v>0</v>
      </c>
      <c r="G34" s="1534">
        <f>P2D!G34*1.1</f>
        <v>0</v>
      </c>
      <c r="H34" s="1535">
        <f>P2D!H34*1.1</f>
        <v>20.975103160000007</v>
      </c>
    </row>
    <row r="35" spans="1:8">
      <c r="A35" s="1419" t="s">
        <v>965</v>
      </c>
      <c r="B35" s="1401" t="s">
        <v>1445</v>
      </c>
      <c r="C35" s="1534">
        <f>P2D!C35*1.1</f>
        <v>254.84700560000005</v>
      </c>
      <c r="D35" s="1534">
        <f>P2D!D35*1.1</f>
        <v>0</v>
      </c>
      <c r="E35" s="1534">
        <f>P2D!E35*1.1</f>
        <v>0</v>
      </c>
      <c r="F35" s="1534">
        <f>P2D!F35*1.1</f>
        <v>0</v>
      </c>
      <c r="G35" s="1534">
        <f>P2D!G35*1.1</f>
        <v>0</v>
      </c>
      <c r="H35" s="1535">
        <f>P2D!H35*1.1</f>
        <v>254.84700560000005</v>
      </c>
    </row>
    <row r="36" spans="1:8">
      <c r="A36" s="1419" t="s">
        <v>965</v>
      </c>
      <c r="B36" s="1401" t="s">
        <v>1446</v>
      </c>
      <c r="C36" s="1534">
        <f>P2D!C36*1.1</f>
        <v>1.1228267600000001</v>
      </c>
      <c r="D36" s="1534">
        <f>P2D!D36*1.1</f>
        <v>0</v>
      </c>
      <c r="E36" s="1534">
        <f>P2D!E36*1.1</f>
        <v>0</v>
      </c>
      <c r="F36" s="1534">
        <f>P2D!F36*1.1</f>
        <v>0</v>
      </c>
      <c r="G36" s="1534">
        <f>P2D!G36*1.1</f>
        <v>0</v>
      </c>
      <c r="H36" s="1535">
        <f>P2D!H36*1.1</f>
        <v>1.1228267600000001</v>
      </c>
    </row>
    <row r="37" spans="1:8">
      <c r="A37" s="1419" t="s">
        <v>965</v>
      </c>
      <c r="B37" s="1401" t="s">
        <v>1532</v>
      </c>
      <c r="C37" s="1534">
        <f>P2D!C37*1.1</f>
        <v>1.4672508400000004</v>
      </c>
      <c r="D37" s="1534">
        <f>P2D!D37*1.1</f>
        <v>0</v>
      </c>
      <c r="E37" s="1534">
        <f>P2D!E37*1.1</f>
        <v>0</v>
      </c>
      <c r="F37" s="1534">
        <f>P2D!F37*1.1</f>
        <v>0</v>
      </c>
      <c r="G37" s="1534">
        <f>P2D!G37*1.1</f>
        <v>0</v>
      </c>
      <c r="H37" s="1535">
        <f>P2D!H37*1.1</f>
        <v>1.4672508400000004</v>
      </c>
    </row>
    <row r="38" spans="1:8">
      <c r="A38" s="1419" t="s">
        <v>965</v>
      </c>
      <c r="B38" s="1401" t="s">
        <v>1447</v>
      </c>
      <c r="C38" s="1534">
        <f>P2D!C38*1.1</f>
        <v>0</v>
      </c>
      <c r="D38" s="1534">
        <f>P2D!D38*1.1</f>
        <v>11.788812200000002</v>
      </c>
      <c r="E38" s="1534">
        <f>P2D!E38*1.1</f>
        <v>0</v>
      </c>
      <c r="F38" s="1534">
        <f>P2D!F38*1.1</f>
        <v>0</v>
      </c>
      <c r="G38" s="1534">
        <f>P2D!G38*1.1</f>
        <v>0</v>
      </c>
      <c r="H38" s="1535">
        <f>P2D!H38*1.1</f>
        <v>11.788812200000002</v>
      </c>
    </row>
    <row r="39" spans="1:8">
      <c r="A39" s="1419" t="s">
        <v>965</v>
      </c>
      <c r="B39" s="1401" t="s">
        <v>1448</v>
      </c>
      <c r="C39" s="1534">
        <f>P2D!C39*1.1</f>
        <v>0</v>
      </c>
      <c r="D39" s="1534">
        <f>P2D!D39*1.1</f>
        <v>0</v>
      </c>
      <c r="E39" s="1534">
        <f>P2D!E39*1.1</f>
        <v>0</v>
      </c>
      <c r="F39" s="1534">
        <f>P2D!F39*1.1</f>
        <v>0</v>
      </c>
      <c r="G39" s="1534">
        <f>P2D!G39*1.1</f>
        <v>31.835521080000007</v>
      </c>
      <c r="H39" s="1535">
        <f>P2D!H39*1.1</f>
        <v>31.835521080000007</v>
      </c>
    </row>
    <row r="40" spans="1:8">
      <c r="A40" s="1419" t="s">
        <v>965</v>
      </c>
      <c r="B40" s="1401" t="s">
        <v>1449</v>
      </c>
      <c r="C40" s="1534">
        <f>P2D!C40*1.1</f>
        <v>0</v>
      </c>
      <c r="D40" s="1534">
        <f>P2D!D40*1.1</f>
        <v>41.021432100000006</v>
      </c>
      <c r="E40" s="1534">
        <f>P2D!E40*1.1</f>
        <v>0</v>
      </c>
      <c r="F40" s="1534">
        <f>P2D!F40*1.1</f>
        <v>0</v>
      </c>
      <c r="G40" s="1534">
        <f>P2D!G40*1.1</f>
        <v>0</v>
      </c>
      <c r="H40" s="1535">
        <f>P2D!H40*1.1</f>
        <v>41.021432100000006</v>
      </c>
    </row>
    <row r="41" spans="1:8">
      <c r="A41" s="1419" t="s">
        <v>965</v>
      </c>
      <c r="B41" s="1401" t="s">
        <v>1698</v>
      </c>
      <c r="C41" s="1534">
        <f>P2D!C41*1.1</f>
        <v>3.5338993800000003</v>
      </c>
      <c r="D41" s="1534">
        <f>P2D!D41*1.1</f>
        <v>0</v>
      </c>
      <c r="E41" s="1534">
        <f>P2D!E41*1.1</f>
        <v>0</v>
      </c>
      <c r="F41" s="1534">
        <f>P2D!F41*1.1</f>
        <v>0</v>
      </c>
      <c r="G41" s="1534">
        <f>P2D!G41*1.1</f>
        <v>0</v>
      </c>
      <c r="H41" s="1535">
        <f>P2D!H41*1.1</f>
        <v>3.5338993800000003</v>
      </c>
    </row>
    <row r="42" spans="1:8">
      <c r="A42" s="1419" t="s">
        <v>965</v>
      </c>
      <c r="B42" s="1401" t="s">
        <v>1699</v>
      </c>
      <c r="C42" s="1534">
        <f>P2D!C42*1.1</f>
        <v>8.8418789800000024</v>
      </c>
      <c r="D42" s="1534">
        <f>P2D!D42*1.1</f>
        <v>9.412955420000003</v>
      </c>
      <c r="E42" s="1534">
        <f>P2D!E42*1.1</f>
        <v>0</v>
      </c>
      <c r="F42" s="1534">
        <f>P2D!F42*1.1</f>
        <v>0</v>
      </c>
      <c r="G42" s="1534">
        <f>P2D!G42*1.1</f>
        <v>0</v>
      </c>
      <c r="H42" s="1535">
        <f>P2D!H42*1.1</f>
        <v>18.2548344</v>
      </c>
    </row>
    <row r="43" spans="1:8">
      <c r="A43" s="1419" t="s">
        <v>965</v>
      </c>
      <c r="B43" s="1401" t="s">
        <v>1450</v>
      </c>
      <c r="C43" s="1534">
        <f>P2D!C43*1.1</f>
        <v>0</v>
      </c>
      <c r="D43" s="1534">
        <f>P2D!D43*1.1</f>
        <v>0</v>
      </c>
      <c r="E43" s="1534">
        <f>P2D!E43*1.1</f>
        <v>0</v>
      </c>
      <c r="F43" s="1534">
        <f>P2D!F43*1.1</f>
        <v>0</v>
      </c>
      <c r="G43" s="1534">
        <f>P2D!G43*1.1</f>
        <v>87.885634760000002</v>
      </c>
      <c r="H43" s="1535">
        <f>P2D!H43*1.1</f>
        <v>87.885634760000002</v>
      </c>
    </row>
    <row r="44" spans="1:8">
      <c r="A44" s="1419" t="s">
        <v>965</v>
      </c>
      <c r="B44" s="1401" t="s">
        <v>1700</v>
      </c>
      <c r="C44" s="1534">
        <f>P2D!C44*1.1</f>
        <v>128.45036688000002</v>
      </c>
      <c r="D44" s="1534">
        <f>P2D!D44*1.1</f>
        <v>0</v>
      </c>
      <c r="E44" s="1534">
        <f>P2D!E44*1.1</f>
        <v>0</v>
      </c>
      <c r="F44" s="1534">
        <f>P2D!F44*1.1</f>
        <v>0</v>
      </c>
      <c r="G44" s="1534">
        <f>P2D!G44*1.1</f>
        <v>0</v>
      </c>
      <c r="H44" s="1535">
        <f>P2D!H44*1.1</f>
        <v>128.45036688000002</v>
      </c>
    </row>
    <row r="45" spans="1:8">
      <c r="A45" s="1419" t="s">
        <v>965</v>
      </c>
      <c r="B45" s="1401" t="s">
        <v>1451</v>
      </c>
      <c r="C45" s="1534">
        <f>P2D!C45*1.1</f>
        <v>1.9613688600000003</v>
      </c>
      <c r="D45" s="1534">
        <f>P2D!D45*1.1</f>
        <v>0</v>
      </c>
      <c r="E45" s="1534">
        <f>P2D!E45*1.1</f>
        <v>0</v>
      </c>
      <c r="F45" s="1534">
        <f>P2D!F45*1.1</f>
        <v>0</v>
      </c>
      <c r="G45" s="1534">
        <f>P2D!G45*1.1</f>
        <v>0</v>
      </c>
      <c r="H45" s="1535">
        <f>P2D!H45*1.1</f>
        <v>1.9613688600000003</v>
      </c>
    </row>
    <row r="46" spans="1:8">
      <c r="A46" s="1419" t="s">
        <v>965</v>
      </c>
      <c r="B46" s="1401" t="s">
        <v>1452</v>
      </c>
      <c r="C46" s="1534">
        <f>P2D!C46*1.1</f>
        <v>0</v>
      </c>
      <c r="D46" s="1534">
        <f>P2D!D46*1.1</f>
        <v>0</v>
      </c>
      <c r="E46" s="1534">
        <f>P2D!E46*1.1</f>
        <v>0</v>
      </c>
      <c r="F46" s="1534">
        <f>P2D!F46*1.1</f>
        <v>0</v>
      </c>
      <c r="G46" s="1534">
        <f>P2D!G46*1.1</f>
        <v>16.160798720000003</v>
      </c>
      <c r="H46" s="1535">
        <f>P2D!H46*1.1</f>
        <v>16.160798720000003</v>
      </c>
    </row>
    <row r="47" spans="1:8">
      <c r="A47" s="1419" t="s">
        <v>965</v>
      </c>
      <c r="B47" s="1401" t="s">
        <v>1453</v>
      </c>
      <c r="C47" s="1534">
        <f>P2D!C47*1.1</f>
        <v>0</v>
      </c>
      <c r="D47" s="1534">
        <f>P2D!D47*1.1</f>
        <v>0</v>
      </c>
      <c r="E47" s="1534">
        <f>P2D!E47*1.1</f>
        <v>0</v>
      </c>
      <c r="F47" s="1534">
        <f>P2D!F47*1.1</f>
        <v>0</v>
      </c>
      <c r="G47" s="1534">
        <f>P2D!G47*1.1</f>
        <v>20.589742360000002</v>
      </c>
      <c r="H47" s="1535">
        <f>P2D!H47*1.1</f>
        <v>20.589742360000002</v>
      </c>
    </row>
    <row r="48" spans="1:8">
      <c r="A48" s="1419" t="s">
        <v>965</v>
      </c>
      <c r="B48" s="1401" t="s">
        <v>1426</v>
      </c>
      <c r="C48" s="1534">
        <f>P2D!C48*1.1</f>
        <v>0</v>
      </c>
      <c r="D48" s="1534">
        <f>P2D!D48*1.1</f>
        <v>0</v>
      </c>
      <c r="E48" s="1534">
        <f>P2D!E48*1.1</f>
        <v>0</v>
      </c>
      <c r="F48" s="1534">
        <f>P2D!F48*1.1</f>
        <v>0</v>
      </c>
      <c r="G48" s="1534">
        <f>P2D!G48*1.1</f>
        <v>39.93104060000001</v>
      </c>
      <c r="H48" s="1535">
        <f>P2D!H48*1.1</f>
        <v>39.93104060000001</v>
      </c>
    </row>
    <row r="49" spans="1:8">
      <c r="A49" s="1419" t="s">
        <v>965</v>
      </c>
      <c r="B49" s="1401" t="s">
        <v>1442</v>
      </c>
      <c r="C49" s="1534">
        <f>P2D!C49*1.1</f>
        <v>0</v>
      </c>
      <c r="D49" s="1534">
        <f>P2D!D49*1.1</f>
        <v>0</v>
      </c>
      <c r="E49" s="1534">
        <f>P2D!E49*1.1</f>
        <v>0</v>
      </c>
      <c r="F49" s="1534">
        <f>P2D!F49*1.1</f>
        <v>0</v>
      </c>
      <c r="G49" s="1534">
        <f>P2D!G49*1.1</f>
        <v>42.630548180000005</v>
      </c>
      <c r="H49" s="1535">
        <f>P2D!H49*1.1</f>
        <v>42.630548180000005</v>
      </c>
    </row>
    <row r="50" spans="1:8">
      <c r="A50" s="1419" t="s">
        <v>965</v>
      </c>
      <c r="B50" s="1401" t="s">
        <v>1429</v>
      </c>
      <c r="C50" s="1534">
        <f>P2D!C50*1.1</f>
        <v>0</v>
      </c>
      <c r="D50" s="1534">
        <f>P2D!D50*1.1</f>
        <v>0</v>
      </c>
      <c r="E50" s="1534">
        <f>P2D!E50*1.1</f>
        <v>0</v>
      </c>
      <c r="F50" s="1534">
        <f>P2D!F50*1.1</f>
        <v>0</v>
      </c>
      <c r="G50" s="1534">
        <f>P2D!G50*1.1</f>
        <v>75.135676000000004</v>
      </c>
      <c r="H50" s="1535">
        <f>P2D!H50*1.1</f>
        <v>75.135676000000004</v>
      </c>
    </row>
    <row r="51" spans="1:8">
      <c r="A51" s="1419" t="s">
        <v>965</v>
      </c>
      <c r="B51" s="1401" t="s">
        <v>1484</v>
      </c>
      <c r="C51" s="1534">
        <f>P2D!C51*1.1</f>
        <v>0</v>
      </c>
      <c r="D51" s="1534">
        <f>P2D!D51*1.1</f>
        <v>0</v>
      </c>
      <c r="E51" s="1534">
        <f>P2D!E51*1.1</f>
        <v>0</v>
      </c>
      <c r="F51" s="1534">
        <f>P2D!F51*1.1</f>
        <v>0</v>
      </c>
      <c r="G51" s="1534">
        <f>P2D!G51*1.1</f>
        <v>0</v>
      </c>
      <c r="H51" s="1535">
        <f>P2D!H51*1.1</f>
        <v>0</v>
      </c>
    </row>
    <row r="52" spans="1:8">
      <c r="A52" s="1419" t="s">
        <v>965</v>
      </c>
      <c r="B52" s="1401" t="s">
        <v>1443</v>
      </c>
      <c r="C52" s="1534">
        <f>P2D!C52*1.1</f>
        <v>0</v>
      </c>
      <c r="D52" s="1534">
        <f>P2D!D52*1.1</f>
        <v>0</v>
      </c>
      <c r="E52" s="1534">
        <f>P2D!E52*1.1</f>
        <v>0</v>
      </c>
      <c r="F52" s="1534">
        <f>P2D!F52*1.1</f>
        <v>0</v>
      </c>
      <c r="G52" s="1534">
        <f>P2D!G52*1.1</f>
        <v>43.792223200000009</v>
      </c>
      <c r="H52" s="1535">
        <f>P2D!H52*1.1</f>
        <v>43.792223200000009</v>
      </c>
    </row>
    <row r="53" spans="1:8" ht="15.75" thickBot="1">
      <c r="A53" s="1419" t="s">
        <v>965</v>
      </c>
      <c r="B53" s="1401" t="s">
        <v>1701</v>
      </c>
      <c r="C53" s="1534">
        <f>P2D!C53*1.1</f>
        <v>58.041173520000001</v>
      </c>
      <c r="D53" s="1534">
        <f>P2D!D53*1.1</f>
        <v>0</v>
      </c>
      <c r="E53" s="1534">
        <f>P2D!E53*1.1</f>
        <v>0</v>
      </c>
      <c r="F53" s="1534">
        <f>P2D!F53*1.1</f>
        <v>0</v>
      </c>
      <c r="G53" s="1534">
        <f>P2D!G53*1.1</f>
        <v>0</v>
      </c>
      <c r="H53" s="1535">
        <f>P2D!H53*1.1</f>
        <v>58.041173520000001</v>
      </c>
    </row>
    <row r="54" spans="1:8" ht="15.75" thickBot="1">
      <c r="A54" s="1417"/>
      <c r="B54" s="1412"/>
      <c r="C54" s="1534"/>
      <c r="D54" s="1534"/>
      <c r="E54" s="1534"/>
      <c r="F54" s="1534"/>
      <c r="G54" s="1534"/>
      <c r="H54" s="1535"/>
    </row>
    <row r="55" spans="1:8">
      <c r="A55" s="1418" t="s">
        <v>1106</v>
      </c>
      <c r="B55" s="1401" t="s">
        <v>1421</v>
      </c>
      <c r="C55" s="1534">
        <f>P2D!C55*1.1</f>
        <v>0</v>
      </c>
      <c r="D55" s="1534">
        <f>P2D!D55*1.1</f>
        <v>0</v>
      </c>
      <c r="E55" s="1534">
        <f>P2D!E55*1.1</f>
        <v>636.89632842000015</v>
      </c>
      <c r="F55" s="1534">
        <f>P2D!F55*1.1</f>
        <v>0</v>
      </c>
      <c r="G55" s="1534">
        <f>P2D!G55*1.1</f>
        <v>0</v>
      </c>
      <c r="H55" s="1535">
        <f>P2D!H55*1.1</f>
        <v>636.89632842000015</v>
      </c>
    </row>
    <row r="56" spans="1:8">
      <c r="A56" s="1419" t="s">
        <v>1106</v>
      </c>
      <c r="B56" s="1401" t="s">
        <v>1454</v>
      </c>
      <c r="C56" s="1534">
        <f>P2D!C56*1.1</f>
        <v>0</v>
      </c>
      <c r="D56" s="1534">
        <f>P2D!D56*1.1</f>
        <v>0</v>
      </c>
      <c r="E56" s="1534">
        <f>P2D!E56*1.1</f>
        <v>412.60946518000003</v>
      </c>
      <c r="F56" s="1534">
        <f>P2D!F56*1.1</f>
        <v>0</v>
      </c>
      <c r="G56" s="1534">
        <f>P2D!G56*1.1</f>
        <v>0</v>
      </c>
      <c r="H56" s="1535">
        <f>P2D!H56*1.1</f>
        <v>412.60946518000003</v>
      </c>
    </row>
    <row r="57" spans="1:8">
      <c r="A57" s="1419" t="s">
        <v>1106</v>
      </c>
      <c r="B57" s="1401" t="s">
        <v>1420</v>
      </c>
      <c r="C57" s="1534">
        <f>P2D!C57*1.1</f>
        <v>0</v>
      </c>
      <c r="D57" s="1534">
        <f>P2D!D57*1.1</f>
        <v>0</v>
      </c>
      <c r="E57" s="1534">
        <f>P2D!E57*1.1</f>
        <v>475.06252618000002</v>
      </c>
      <c r="F57" s="1534">
        <f>P2D!F57*1.1</f>
        <v>0</v>
      </c>
      <c r="G57" s="1534">
        <f>P2D!G57*1.1</f>
        <v>0</v>
      </c>
      <c r="H57" s="1535">
        <f>P2D!H57*1.1</f>
        <v>475.06252618000002</v>
      </c>
    </row>
    <row r="58" spans="1:8">
      <c r="A58" s="1419" t="s">
        <v>1106</v>
      </c>
      <c r="B58" s="1401" t="s">
        <v>1422</v>
      </c>
      <c r="C58" s="1534">
        <f>P2D!C58*1.1</f>
        <v>0</v>
      </c>
      <c r="D58" s="1534">
        <f>P2D!D58*1.1</f>
        <v>0</v>
      </c>
      <c r="E58" s="1534">
        <f>P2D!E58*1.1</f>
        <v>146.70590792000002</v>
      </c>
      <c r="F58" s="1534">
        <f>P2D!F58*1.1</f>
        <v>0</v>
      </c>
      <c r="G58" s="1534">
        <f>P2D!G58*1.1</f>
        <v>0</v>
      </c>
      <c r="H58" s="1535">
        <f>P2D!H58*1.1</f>
        <v>146.70590792000002</v>
      </c>
    </row>
    <row r="59" spans="1:8">
      <c r="A59" s="1419" t="s">
        <v>1106</v>
      </c>
      <c r="B59" s="1401" t="s">
        <v>1457</v>
      </c>
      <c r="C59" s="1534">
        <f>P2D!C59*1.1</f>
        <v>0</v>
      </c>
      <c r="D59" s="1534">
        <f>P2D!D59*1.1</f>
        <v>0</v>
      </c>
      <c r="E59" s="1534">
        <f>P2D!E59*1.1</f>
        <v>241.41151650000003</v>
      </c>
      <c r="F59" s="1534">
        <f>P2D!F59*1.1</f>
        <v>0</v>
      </c>
      <c r="G59" s="1534">
        <f>P2D!G59*1.1</f>
        <v>0</v>
      </c>
      <c r="H59" s="1535">
        <f>P2D!H59*1.1</f>
        <v>241.41151650000003</v>
      </c>
    </row>
    <row r="60" spans="1:8">
      <c r="A60" s="1419" t="s">
        <v>1106</v>
      </c>
      <c r="B60" s="1401" t="s">
        <v>1458</v>
      </c>
      <c r="C60" s="1534">
        <f>P2D!C60*1.1</f>
        <v>0</v>
      </c>
      <c r="D60" s="1534">
        <f>P2D!D60*1.1</f>
        <v>0</v>
      </c>
      <c r="E60" s="1534">
        <f>P2D!E60*1.1</f>
        <v>624.91017490000013</v>
      </c>
      <c r="F60" s="1534">
        <f>P2D!F60*1.1</f>
        <v>0</v>
      </c>
      <c r="G60" s="1534">
        <f>P2D!G60*1.1</f>
        <v>0</v>
      </c>
      <c r="H60" s="1535">
        <f>P2D!H60*1.1</f>
        <v>624.91017490000013</v>
      </c>
    </row>
    <row r="61" spans="1:8">
      <c r="A61" s="1419" t="s">
        <v>1106</v>
      </c>
      <c r="B61" s="1401" t="s">
        <v>1459</v>
      </c>
      <c r="C61" s="1534">
        <f>P2D!C61*1.1</f>
        <v>0</v>
      </c>
      <c r="D61" s="1534">
        <f>P2D!D61*1.1</f>
        <v>0</v>
      </c>
      <c r="E61" s="1534">
        <f>P2D!E61*1.1</f>
        <v>181.90764900000005</v>
      </c>
      <c r="F61" s="1534">
        <f>P2D!F61*1.1</f>
        <v>0</v>
      </c>
      <c r="G61" s="1534">
        <f>P2D!G61*1.1</f>
        <v>0</v>
      </c>
      <c r="H61" s="1535">
        <f>P2D!H61*1.1</f>
        <v>181.90764900000005</v>
      </c>
    </row>
    <row r="62" spans="1:8">
      <c r="A62" s="1419" t="s">
        <v>1106</v>
      </c>
      <c r="B62" s="1401" t="s">
        <v>1460</v>
      </c>
      <c r="C62" s="1534">
        <f>P2D!C62*1.1</f>
        <v>0</v>
      </c>
      <c r="D62" s="1534">
        <f>P2D!D62*1.1</f>
        <v>0</v>
      </c>
      <c r="E62" s="1534">
        <f>P2D!E62*1.1</f>
        <v>506.09536714000001</v>
      </c>
      <c r="F62" s="1534">
        <f>P2D!F62*1.1</f>
        <v>0</v>
      </c>
      <c r="G62" s="1534">
        <f>P2D!G62*1.1</f>
        <v>0</v>
      </c>
      <c r="H62" s="1535">
        <f>P2D!H62*1.1</f>
        <v>506.09536714000001</v>
      </c>
    </row>
    <row r="63" spans="1:8">
      <c r="A63" s="1419" t="s">
        <v>1106</v>
      </c>
      <c r="B63" s="1401" t="s">
        <v>1461</v>
      </c>
      <c r="C63" s="1534">
        <f>P2D!C63*1.1</f>
        <v>0</v>
      </c>
      <c r="D63" s="1534">
        <f>P2D!D63*1.1</f>
        <v>0</v>
      </c>
      <c r="E63" s="1534">
        <f>P2D!E63*1.1</f>
        <v>371.10239474000008</v>
      </c>
      <c r="F63" s="1534">
        <f>P2D!F63*1.1</f>
        <v>0</v>
      </c>
      <c r="G63" s="1534">
        <f>P2D!G63*1.1</f>
        <v>0</v>
      </c>
      <c r="H63" s="1535">
        <f>P2D!H63*1.1</f>
        <v>371.10239474000008</v>
      </c>
    </row>
    <row r="64" spans="1:8">
      <c r="A64" s="1419" t="s">
        <v>1106</v>
      </c>
      <c r="B64" s="1401" t="s">
        <v>1423</v>
      </c>
      <c r="C64" s="1534">
        <f>P2D!C64*1.1</f>
        <v>0</v>
      </c>
      <c r="D64" s="1534">
        <f>P2D!D64*1.1</f>
        <v>0</v>
      </c>
      <c r="E64" s="1534">
        <f>P2D!E64*1.1</f>
        <v>604.43394990000002</v>
      </c>
      <c r="F64" s="1534">
        <f>P2D!F64*1.1</f>
        <v>0</v>
      </c>
      <c r="G64" s="1534">
        <f>P2D!G64*1.1</f>
        <v>0</v>
      </c>
      <c r="H64" s="1535">
        <f>P2D!H64*1.1</f>
        <v>604.43394990000002</v>
      </c>
    </row>
    <row r="65" spans="1:8">
      <c r="A65" s="1419" t="s">
        <v>1106</v>
      </c>
      <c r="B65" s="1401" t="s">
        <v>1462</v>
      </c>
      <c r="C65" s="1534">
        <f>P2D!C65*1.1</f>
        <v>0</v>
      </c>
      <c r="D65" s="1534">
        <f>P2D!D65*1.1</f>
        <v>0</v>
      </c>
      <c r="E65" s="1534">
        <f>P2D!E65*1.1</f>
        <v>702.43998594000004</v>
      </c>
      <c r="F65" s="1534">
        <f>P2D!F65*1.1</f>
        <v>0</v>
      </c>
      <c r="G65" s="1534">
        <f>P2D!G65*1.1</f>
        <v>0</v>
      </c>
      <c r="H65" s="1535">
        <f>P2D!H65*1.1</f>
        <v>702.43998594000004</v>
      </c>
    </row>
    <row r="66" spans="1:8">
      <c r="A66" s="1419" t="s">
        <v>1106</v>
      </c>
      <c r="B66" s="1401" t="s">
        <v>1424</v>
      </c>
      <c r="C66" s="1534">
        <f>P2D!C66*1.1</f>
        <v>0</v>
      </c>
      <c r="D66" s="1534">
        <f>P2D!D66*1.1</f>
        <v>0</v>
      </c>
      <c r="E66" s="1534">
        <f>P2D!E66*1.1</f>
        <v>457.87220864000011</v>
      </c>
      <c r="F66" s="1534">
        <f>P2D!F66*1.1</f>
        <v>0</v>
      </c>
      <c r="G66" s="1534">
        <f>P2D!G66*1.1</f>
        <v>0</v>
      </c>
      <c r="H66" s="1535">
        <f>P2D!H66*1.1</f>
        <v>457.87220864000011</v>
      </c>
    </row>
    <row r="67" spans="1:8">
      <c r="A67" s="1419" t="s">
        <v>1106</v>
      </c>
      <c r="B67" s="1401" t="s">
        <v>1463</v>
      </c>
      <c r="C67" s="1534">
        <f>P2D!C67*1.1</f>
        <v>0</v>
      </c>
      <c r="D67" s="1534">
        <f>P2D!D67*1.1</f>
        <v>0</v>
      </c>
      <c r="E67" s="1534">
        <f>P2D!E67*1.1</f>
        <v>324.68677538000009</v>
      </c>
      <c r="F67" s="1534">
        <f>P2D!F67*1.1</f>
        <v>0</v>
      </c>
      <c r="G67" s="1534">
        <f>P2D!G67*1.1</f>
        <v>0</v>
      </c>
      <c r="H67" s="1535">
        <f>P2D!H67*1.1</f>
        <v>324.68677538000009</v>
      </c>
    </row>
    <row r="68" spans="1:8">
      <c r="A68" s="1419" t="s">
        <v>1106</v>
      </c>
      <c r="B68" s="1401" t="s">
        <v>1464</v>
      </c>
      <c r="C68" s="1534">
        <f>P2D!C68*1.1</f>
        <v>0</v>
      </c>
      <c r="D68" s="1534">
        <f>P2D!D68*1.1</f>
        <v>0</v>
      </c>
      <c r="E68" s="1534">
        <f>P2D!E68*1.1</f>
        <v>589.72817134000002</v>
      </c>
      <c r="F68" s="1534">
        <f>P2D!F68*1.1</f>
        <v>0</v>
      </c>
      <c r="G68" s="1534">
        <f>P2D!G68*1.1</f>
        <v>0</v>
      </c>
      <c r="H68" s="1535">
        <f>P2D!H68*1.1</f>
        <v>589.72817134000002</v>
      </c>
    </row>
    <row r="69" spans="1:8">
      <c r="A69" s="1419" t="s">
        <v>1106</v>
      </c>
      <c r="B69" s="1401" t="s">
        <v>1465</v>
      </c>
      <c r="C69" s="1534">
        <f>P2D!C69*1.1</f>
        <v>0</v>
      </c>
      <c r="D69" s="1534">
        <f>P2D!D69*1.1</f>
        <v>0</v>
      </c>
      <c r="E69" s="1534">
        <f>P2D!E69*1.1</f>
        <v>207.19125240000005</v>
      </c>
      <c r="F69" s="1534">
        <f>P2D!F69*1.1</f>
        <v>0</v>
      </c>
      <c r="G69" s="1534">
        <f>P2D!G69*1.1</f>
        <v>0</v>
      </c>
      <c r="H69" s="1535">
        <f>P2D!H69*1.1</f>
        <v>207.19125240000005</v>
      </c>
    </row>
    <row r="70" spans="1:8">
      <c r="A70" s="1419" t="s">
        <v>1106</v>
      </c>
      <c r="B70" s="1401" t="s">
        <v>1466</v>
      </c>
      <c r="C70" s="1534">
        <f>P2D!C70*1.1</f>
        <v>0</v>
      </c>
      <c r="D70" s="1534">
        <f>P2D!D70*1.1</f>
        <v>0</v>
      </c>
      <c r="E70" s="1534">
        <f>P2D!E70*1.1</f>
        <v>384.7622105800001</v>
      </c>
      <c r="F70" s="1534">
        <f>P2D!F70*1.1</f>
        <v>0</v>
      </c>
      <c r="G70" s="1534">
        <f>P2D!G70*1.1</f>
        <v>0</v>
      </c>
      <c r="H70" s="1535">
        <f>P2D!H70*1.1</f>
        <v>384.7622105800001</v>
      </c>
    </row>
    <row r="71" spans="1:8">
      <c r="A71" s="1419" t="s">
        <v>1106</v>
      </c>
      <c r="B71" s="1401" t="s">
        <v>1425</v>
      </c>
      <c r="C71" s="1534">
        <f>P2D!C71*1.1</f>
        <v>0</v>
      </c>
      <c r="D71" s="1534">
        <f>P2D!D71*1.1</f>
        <v>0</v>
      </c>
      <c r="E71" s="1534">
        <f>P2D!E71*1.1</f>
        <v>213.88420042000004</v>
      </c>
      <c r="F71" s="1534">
        <f>P2D!F71*1.1</f>
        <v>0</v>
      </c>
      <c r="G71" s="1534">
        <f>P2D!G71*1.1</f>
        <v>0</v>
      </c>
      <c r="H71" s="1535">
        <f>P2D!H71*1.1</f>
        <v>213.88420042000004</v>
      </c>
    </row>
    <row r="72" spans="1:8">
      <c r="A72" s="1419" t="s">
        <v>1106</v>
      </c>
      <c r="B72" s="1401" t="s">
        <v>1467</v>
      </c>
      <c r="C72" s="1534">
        <f>P2D!C72*1.1</f>
        <v>0</v>
      </c>
      <c r="D72" s="1534">
        <f>P2D!D72*1.1</f>
        <v>0</v>
      </c>
      <c r="E72" s="1534">
        <f>P2D!E72*1.1</f>
        <v>238.79711306000002</v>
      </c>
      <c r="F72" s="1534">
        <f>P2D!F72*1.1</f>
        <v>0</v>
      </c>
      <c r="G72" s="1534">
        <f>P2D!G72*1.1</f>
        <v>0</v>
      </c>
      <c r="H72" s="1535">
        <f>P2D!H72*1.1</f>
        <v>238.79711306000002</v>
      </c>
    </row>
    <row r="73" spans="1:8">
      <c r="A73" s="1419" t="s">
        <v>1106</v>
      </c>
      <c r="B73" s="1401" t="s">
        <v>1468</v>
      </c>
      <c r="C73" s="1534">
        <f>P2D!C73*1.1</f>
        <v>0</v>
      </c>
      <c r="D73" s="1534">
        <f>P2D!D73*1.1</f>
        <v>0</v>
      </c>
      <c r="E73" s="1534">
        <f>P2D!E73*1.1</f>
        <v>184.23347470000004</v>
      </c>
      <c r="F73" s="1534">
        <f>P2D!F73*1.1</f>
        <v>0</v>
      </c>
      <c r="G73" s="1534">
        <f>P2D!G73*1.1</f>
        <v>0</v>
      </c>
      <c r="H73" s="1535">
        <f>P2D!H73*1.1</f>
        <v>184.23347470000004</v>
      </c>
    </row>
    <row r="74" spans="1:8">
      <c r="A74" s="1419" t="s">
        <v>1106</v>
      </c>
      <c r="B74" s="1401" t="s">
        <v>1469</v>
      </c>
      <c r="C74" s="1534">
        <f>P2D!C74*1.1</f>
        <v>0</v>
      </c>
      <c r="D74" s="1534">
        <f>P2D!D74*1.1</f>
        <v>0</v>
      </c>
      <c r="E74" s="1534">
        <f>P2D!E74*1.1</f>
        <v>384.76026248000005</v>
      </c>
      <c r="F74" s="1534">
        <f>P2D!F74*1.1</f>
        <v>0</v>
      </c>
      <c r="G74" s="1534">
        <f>P2D!G74*1.1</f>
        <v>0</v>
      </c>
      <c r="H74" s="1535">
        <f>P2D!H74*1.1</f>
        <v>384.76026248000005</v>
      </c>
    </row>
    <row r="75" spans="1:8">
      <c r="A75" s="1419" t="s">
        <v>1106</v>
      </c>
      <c r="B75" s="1401" t="s">
        <v>1470</v>
      </c>
      <c r="C75" s="1534">
        <f>P2D!C75*1.1</f>
        <v>0</v>
      </c>
      <c r="D75" s="1534">
        <f>P2D!D75*1.1</f>
        <v>0</v>
      </c>
      <c r="E75" s="1534">
        <f>P2D!E75*1.1</f>
        <v>618.11696870000014</v>
      </c>
      <c r="F75" s="1534">
        <f>P2D!F75*1.1</f>
        <v>0</v>
      </c>
      <c r="G75" s="1534">
        <f>P2D!G75*1.1</f>
        <v>0</v>
      </c>
      <c r="H75" s="1535">
        <f>P2D!H75*1.1</f>
        <v>618.11696870000014</v>
      </c>
    </row>
    <row r="76" spans="1:8">
      <c r="A76" s="1419" t="s">
        <v>1106</v>
      </c>
      <c r="B76" s="1401" t="s">
        <v>1427</v>
      </c>
      <c r="C76" s="1534">
        <f>P2D!C76*1.1</f>
        <v>0</v>
      </c>
      <c r="D76" s="1534">
        <f>P2D!D76*1.1</f>
        <v>0</v>
      </c>
      <c r="E76" s="1534">
        <f>P2D!E76*1.1</f>
        <v>354.61902212000007</v>
      </c>
      <c r="F76" s="1534">
        <f>P2D!F76*1.1</f>
        <v>0</v>
      </c>
      <c r="G76" s="1534">
        <f>P2D!G76*1.1</f>
        <v>0</v>
      </c>
      <c r="H76" s="1535">
        <f>P2D!H76*1.1</f>
        <v>354.61902212000007</v>
      </c>
    </row>
    <row r="77" spans="1:8">
      <c r="A77" s="1419" t="s">
        <v>1106</v>
      </c>
      <c r="B77" s="1401" t="s">
        <v>1428</v>
      </c>
      <c r="C77" s="1534">
        <f>P2D!C77*1.1</f>
        <v>0</v>
      </c>
      <c r="D77" s="1534">
        <f>P2D!D77*1.1</f>
        <v>0</v>
      </c>
      <c r="E77" s="1534">
        <f>P2D!E77*1.1</f>
        <v>207.18889048000005</v>
      </c>
      <c r="F77" s="1534">
        <f>P2D!F77*1.1</f>
        <v>0</v>
      </c>
      <c r="G77" s="1534">
        <f>P2D!G77*1.1</f>
        <v>0</v>
      </c>
      <c r="H77" s="1535">
        <f>P2D!H77*1.1</f>
        <v>207.18889048000005</v>
      </c>
    </row>
    <row r="78" spans="1:8">
      <c r="A78" s="1419" t="s">
        <v>1106</v>
      </c>
      <c r="B78" s="1401" t="s">
        <v>1473</v>
      </c>
      <c r="C78" s="1534">
        <f>P2D!C78*1.1</f>
        <v>0</v>
      </c>
      <c r="D78" s="1534">
        <f>P2D!D78*1.1</f>
        <v>0</v>
      </c>
      <c r="E78" s="1534">
        <f>P2D!E78*1.1</f>
        <v>530.50831504000007</v>
      </c>
      <c r="F78" s="1534">
        <f>P2D!F78*1.1</f>
        <v>0</v>
      </c>
      <c r="G78" s="1534">
        <f>P2D!G78*1.1</f>
        <v>0</v>
      </c>
      <c r="H78" s="1535">
        <f>P2D!H78*1.1</f>
        <v>530.50831504000007</v>
      </c>
    </row>
    <row r="79" spans="1:8">
      <c r="A79" s="1419" t="s">
        <v>1106</v>
      </c>
      <c r="B79" s="1401" t="s">
        <v>1474</v>
      </c>
      <c r="C79" s="1534">
        <f>P2D!C79*1.1</f>
        <v>0</v>
      </c>
      <c r="D79" s="1534">
        <f>P2D!D79*1.1</f>
        <v>0</v>
      </c>
      <c r="E79" s="1534">
        <f>P2D!E79*1.1</f>
        <v>841.88431360000004</v>
      </c>
      <c r="F79" s="1534">
        <f>P2D!F79*1.1</f>
        <v>0</v>
      </c>
      <c r="G79" s="1534">
        <f>P2D!G79*1.1</f>
        <v>0</v>
      </c>
      <c r="H79" s="1535">
        <f>P2D!H79*1.1</f>
        <v>841.88431360000004</v>
      </c>
    </row>
    <row r="80" spans="1:8">
      <c r="A80" s="1419" t="s">
        <v>1106</v>
      </c>
      <c r="B80" s="1401" t="s">
        <v>1716</v>
      </c>
      <c r="C80" s="1534">
        <f>P2D!C80*1.1</f>
        <v>0</v>
      </c>
      <c r="D80" s="1534">
        <f>P2D!D80*1.1</f>
        <v>0</v>
      </c>
      <c r="E80" s="1534">
        <f>P2D!E80*1.1</f>
        <v>60.241229400000016</v>
      </c>
      <c r="F80" s="1534">
        <f>P2D!F80*1.1</f>
        <v>0</v>
      </c>
      <c r="G80" s="1534">
        <f>P2D!G80*1.1</f>
        <v>0</v>
      </c>
      <c r="H80" s="1535">
        <f>P2D!H80*1.1</f>
        <v>60.241229400000016</v>
      </c>
    </row>
    <row r="81" spans="1:8">
      <c r="A81" s="1419" t="s">
        <v>1106</v>
      </c>
      <c r="B81" s="1401" t="s">
        <v>1475</v>
      </c>
      <c r="C81" s="1534">
        <f>P2D!C81*1.1</f>
        <v>0</v>
      </c>
      <c r="D81" s="1534">
        <f>P2D!D81*1.1</f>
        <v>0</v>
      </c>
      <c r="E81" s="1534">
        <f>P2D!E81*1.1</f>
        <v>317.66782674000007</v>
      </c>
      <c r="F81" s="1534">
        <f>P2D!F81*1.1</f>
        <v>0</v>
      </c>
      <c r="G81" s="1534">
        <f>P2D!G81*1.1</f>
        <v>0</v>
      </c>
      <c r="H81" s="1535">
        <f>P2D!H81*1.1</f>
        <v>317.66782674000007</v>
      </c>
    </row>
    <row r="82" spans="1:8">
      <c r="A82" s="1419" t="s">
        <v>1106</v>
      </c>
      <c r="B82" s="1401" t="s">
        <v>1476</v>
      </c>
      <c r="C82" s="1534">
        <f>P2D!C82*1.1</f>
        <v>0</v>
      </c>
      <c r="D82" s="1534">
        <f>P2D!D82*1.1</f>
        <v>0</v>
      </c>
      <c r="E82" s="1534">
        <f>P2D!E82*1.1</f>
        <v>119.34546778000001</v>
      </c>
      <c r="F82" s="1534">
        <f>P2D!F82*1.1</f>
        <v>0</v>
      </c>
      <c r="G82" s="1534">
        <f>P2D!G82*1.1</f>
        <v>0</v>
      </c>
      <c r="H82" s="1535">
        <f>P2D!H82*1.1</f>
        <v>119.34546778000001</v>
      </c>
    </row>
    <row r="83" spans="1:8">
      <c r="A83" s="1419" t="s">
        <v>1106</v>
      </c>
      <c r="B83" s="1401" t="s">
        <v>1477</v>
      </c>
      <c r="C83" s="1534">
        <f>P2D!C83*1.1</f>
        <v>0</v>
      </c>
      <c r="D83" s="1534">
        <f>P2D!D83*1.1</f>
        <v>0</v>
      </c>
      <c r="E83" s="1534">
        <f>P2D!E83*1.1</f>
        <v>334.22919596000003</v>
      </c>
      <c r="F83" s="1534">
        <f>P2D!F83*1.1</f>
        <v>0</v>
      </c>
      <c r="G83" s="1534">
        <f>P2D!G83*1.1</f>
        <v>0</v>
      </c>
      <c r="H83" s="1535">
        <f>P2D!H83*1.1</f>
        <v>334.22919596000003</v>
      </c>
    </row>
    <row r="84" spans="1:8">
      <c r="A84" s="1419" t="s">
        <v>1106</v>
      </c>
      <c r="B84" s="1401" t="s">
        <v>1478</v>
      </c>
      <c r="C84" s="1534">
        <f>P2D!C84*1.1</f>
        <v>0</v>
      </c>
      <c r="D84" s="1534">
        <f>P2D!D84*1.1</f>
        <v>0</v>
      </c>
      <c r="E84" s="1534">
        <f>P2D!E84*1.1</f>
        <v>381.68684796000008</v>
      </c>
      <c r="F84" s="1534">
        <f>P2D!F84*1.1</f>
        <v>0</v>
      </c>
      <c r="G84" s="1534">
        <f>P2D!G84*1.1</f>
        <v>0</v>
      </c>
      <c r="H84" s="1535">
        <f>P2D!H84*1.1</f>
        <v>381.68684796000008</v>
      </c>
    </row>
    <row r="85" spans="1:8">
      <c r="A85" s="1419" t="s">
        <v>1106</v>
      </c>
      <c r="B85" s="1401" t="s">
        <v>2266</v>
      </c>
      <c r="C85" s="1534">
        <f>P2D!C85*1.1</f>
        <v>0</v>
      </c>
      <c r="D85" s="1534">
        <f>P2D!D85*1.1</f>
        <v>0</v>
      </c>
      <c r="E85" s="1534">
        <f>P2D!E85*1.1</f>
        <v>257.46223184000002</v>
      </c>
      <c r="F85" s="1534">
        <f>P2D!F85*1.1</f>
        <v>0</v>
      </c>
      <c r="G85" s="1534">
        <f>P2D!G85*1.1</f>
        <v>0</v>
      </c>
      <c r="H85" s="1535">
        <f>P2D!H85*1.1</f>
        <v>257.46223184000002</v>
      </c>
    </row>
    <row r="86" spans="1:8">
      <c r="A86" s="1419" t="s">
        <v>1106</v>
      </c>
      <c r="B86" s="1401" t="s">
        <v>1479</v>
      </c>
      <c r="C86" s="1534">
        <f>P2D!C86*1.1</f>
        <v>0</v>
      </c>
      <c r="D86" s="1534">
        <f>P2D!D86*1.1</f>
        <v>0</v>
      </c>
      <c r="E86" s="1534">
        <f>P2D!E86*1.1</f>
        <v>152.58641838000003</v>
      </c>
      <c r="F86" s="1534">
        <f>P2D!F86*1.1</f>
        <v>0</v>
      </c>
      <c r="G86" s="1534">
        <f>P2D!G86*1.1</f>
        <v>0</v>
      </c>
      <c r="H86" s="1535">
        <f>P2D!H86*1.1</f>
        <v>152.58641838000003</v>
      </c>
    </row>
    <row r="87" spans="1:8">
      <c r="A87" s="1419" t="s">
        <v>1106</v>
      </c>
      <c r="B87" s="1401" t="s">
        <v>1480</v>
      </c>
      <c r="C87" s="1534">
        <f>P2D!C87*1.1</f>
        <v>0</v>
      </c>
      <c r="D87" s="1534">
        <f>P2D!D87*1.1</f>
        <v>0</v>
      </c>
      <c r="E87" s="1534">
        <f>P2D!E87*1.1</f>
        <v>204.92556128000007</v>
      </c>
      <c r="F87" s="1534">
        <f>P2D!F87*1.1</f>
        <v>0</v>
      </c>
      <c r="G87" s="1534">
        <f>P2D!G87*1.1</f>
        <v>0</v>
      </c>
      <c r="H87" s="1535">
        <f>P2D!H87*1.1</f>
        <v>204.92556128000007</v>
      </c>
    </row>
    <row r="88" spans="1:8">
      <c r="A88" s="1419" t="s">
        <v>1106</v>
      </c>
      <c r="B88" s="1401" t="s">
        <v>1482</v>
      </c>
      <c r="C88" s="1534">
        <f>P2D!C88*1.1</f>
        <v>0</v>
      </c>
      <c r="D88" s="1534">
        <f>P2D!D88*1.1</f>
        <v>0</v>
      </c>
      <c r="E88" s="1534">
        <f>P2D!E88*1.1</f>
        <v>537.24625570000012</v>
      </c>
      <c r="F88" s="1534">
        <f>P2D!F88*1.1</f>
        <v>0</v>
      </c>
      <c r="G88" s="1534">
        <f>P2D!G88*1.1</f>
        <v>0</v>
      </c>
      <c r="H88" s="1535">
        <f>P2D!H88*1.1</f>
        <v>537.24625570000012</v>
      </c>
    </row>
    <row r="89" spans="1:8">
      <c r="A89" s="1419" t="s">
        <v>1106</v>
      </c>
      <c r="B89" s="1401" t="s">
        <v>1483</v>
      </c>
      <c r="C89" s="1534">
        <f>P2D!C89*1.1</f>
        <v>0</v>
      </c>
      <c r="D89" s="1534">
        <f>P2D!D89*1.1</f>
        <v>0</v>
      </c>
      <c r="E89" s="1534">
        <f>P2D!E89*1.1</f>
        <v>111.78401564000001</v>
      </c>
      <c r="F89" s="1534">
        <f>P2D!F89*1.1</f>
        <v>0</v>
      </c>
      <c r="G89" s="1534">
        <f>P2D!G89*1.1</f>
        <v>0</v>
      </c>
      <c r="H89" s="1535">
        <f>P2D!H89*1.1</f>
        <v>111.78401564000001</v>
      </c>
    </row>
    <row r="90" spans="1:8">
      <c r="A90" s="1419" t="s">
        <v>1106</v>
      </c>
      <c r="B90" s="1401" t="s">
        <v>1430</v>
      </c>
      <c r="C90" s="1534">
        <f>P2D!C90*1.1</f>
        <v>0</v>
      </c>
      <c r="D90" s="1534">
        <f>P2D!D90*1.1</f>
        <v>0</v>
      </c>
      <c r="E90" s="1534">
        <f>P2D!E90*1.1</f>
        <v>330.95907174000007</v>
      </c>
      <c r="F90" s="1534">
        <f>P2D!F90*1.1</f>
        <v>0</v>
      </c>
      <c r="G90" s="1534">
        <f>P2D!G90*1.1</f>
        <v>0</v>
      </c>
      <c r="H90" s="1535">
        <f>P2D!H90*1.1</f>
        <v>330.95907174000007</v>
      </c>
    </row>
    <row r="91" spans="1:8">
      <c r="A91" s="1419" t="s">
        <v>1106</v>
      </c>
      <c r="B91" s="1401" t="s">
        <v>1431</v>
      </c>
      <c r="C91" s="1534">
        <f>P2D!C91*1.1</f>
        <v>0</v>
      </c>
      <c r="D91" s="1534">
        <f>P2D!D91*1.1</f>
        <v>0</v>
      </c>
      <c r="E91" s="1534">
        <f>P2D!E91*1.1</f>
        <v>206.70042800000002</v>
      </c>
      <c r="F91" s="1534">
        <f>P2D!F91*1.1</f>
        <v>0</v>
      </c>
      <c r="G91" s="1534">
        <f>P2D!G91*1.1</f>
        <v>0</v>
      </c>
      <c r="H91" s="1535">
        <f>P2D!H91*1.1</f>
        <v>206.70042800000002</v>
      </c>
    </row>
    <row r="92" spans="1:8">
      <c r="A92" s="1419" t="s">
        <v>1106</v>
      </c>
      <c r="B92" s="1401" t="s">
        <v>2267</v>
      </c>
      <c r="C92" s="1534">
        <f>P2D!C92*1.1</f>
        <v>0</v>
      </c>
      <c r="D92" s="1534">
        <f>P2D!D92*1.1</f>
        <v>0</v>
      </c>
      <c r="E92" s="1534">
        <f>P2D!E92*1.1</f>
        <v>124.07783828000002</v>
      </c>
      <c r="F92" s="1534">
        <f>P2D!F92*1.1</f>
        <v>0</v>
      </c>
      <c r="G92" s="1534">
        <f>P2D!G92*1.1</f>
        <v>0</v>
      </c>
      <c r="H92" s="1535">
        <f>P2D!H92*1.1</f>
        <v>124.07783828000002</v>
      </c>
    </row>
    <row r="93" spans="1:8">
      <c r="A93" s="1419" t="s">
        <v>1106</v>
      </c>
      <c r="B93" s="1401" t="s">
        <v>1485</v>
      </c>
      <c r="C93" s="1534">
        <f>P2D!C93*1.1</f>
        <v>0</v>
      </c>
      <c r="D93" s="1534">
        <f>P2D!D93*1.1</f>
        <v>0</v>
      </c>
      <c r="E93" s="1534">
        <f>P2D!E93*1.1</f>
        <v>407.39594786000009</v>
      </c>
      <c r="F93" s="1534">
        <f>P2D!F93*1.1</f>
        <v>0</v>
      </c>
      <c r="G93" s="1534">
        <f>P2D!G93*1.1</f>
        <v>0</v>
      </c>
      <c r="H93" s="1535">
        <f>P2D!H93*1.1</f>
        <v>407.39594786000009</v>
      </c>
    </row>
    <row r="94" spans="1:8">
      <c r="A94" s="1419" t="s">
        <v>1106</v>
      </c>
      <c r="B94" s="1401" t="s">
        <v>1486</v>
      </c>
      <c r="C94" s="1534">
        <f>P2D!C94*1.1</f>
        <v>0</v>
      </c>
      <c r="D94" s="1534">
        <f>P2D!D94*1.1</f>
        <v>0</v>
      </c>
      <c r="E94" s="1534">
        <f>P2D!E94*1.1</f>
        <v>321.09551474000006</v>
      </c>
      <c r="F94" s="1534">
        <f>P2D!F94*1.1</f>
        <v>0</v>
      </c>
      <c r="G94" s="1534">
        <f>P2D!G94*1.1</f>
        <v>0</v>
      </c>
      <c r="H94" s="1535">
        <f>P2D!H94*1.1</f>
        <v>321.09551474000006</v>
      </c>
    </row>
    <row r="95" spans="1:8">
      <c r="A95" s="1419" t="s">
        <v>1106</v>
      </c>
      <c r="B95" s="1401" t="s">
        <v>1432</v>
      </c>
      <c r="C95" s="1534">
        <f>P2D!C95*1.1</f>
        <v>0</v>
      </c>
      <c r="D95" s="1534">
        <f>P2D!D95*1.1</f>
        <v>0</v>
      </c>
      <c r="E95" s="1534">
        <f>P2D!E95*1.1</f>
        <v>256.74571098000007</v>
      </c>
      <c r="F95" s="1534">
        <f>P2D!F95*1.1</f>
        <v>0</v>
      </c>
      <c r="G95" s="1534">
        <f>P2D!G95*1.1</f>
        <v>0</v>
      </c>
      <c r="H95" s="1535">
        <f>P2D!H95*1.1</f>
        <v>256.74571098000007</v>
      </c>
    </row>
    <row r="96" spans="1:8">
      <c r="A96" s="1419" t="s">
        <v>1106</v>
      </c>
      <c r="B96" s="1401" t="s">
        <v>1433</v>
      </c>
      <c r="C96" s="1534">
        <f>P2D!C96*1.1</f>
        <v>0</v>
      </c>
      <c r="D96" s="1534">
        <f>P2D!D96*1.1</f>
        <v>0</v>
      </c>
      <c r="E96" s="1534">
        <f>P2D!E96*1.1</f>
        <v>312.61440210000006</v>
      </c>
      <c r="F96" s="1534">
        <f>P2D!F96*1.1</f>
        <v>0</v>
      </c>
      <c r="G96" s="1534">
        <f>P2D!G96*1.1</f>
        <v>0</v>
      </c>
      <c r="H96" s="1535">
        <f>P2D!H96*1.1</f>
        <v>312.61440210000006</v>
      </c>
    </row>
    <row r="97" spans="1:8">
      <c r="A97" s="1419" t="s">
        <v>1106</v>
      </c>
      <c r="B97" s="1401" t="s">
        <v>1489</v>
      </c>
      <c r="C97" s="1534">
        <f>P2D!C97*1.1</f>
        <v>0</v>
      </c>
      <c r="D97" s="1534">
        <f>P2D!D97*1.1</f>
        <v>0</v>
      </c>
      <c r="E97" s="1534">
        <f>P2D!E97*1.1</f>
        <v>150.68252210000003</v>
      </c>
      <c r="F97" s="1534">
        <f>P2D!F97*1.1</f>
        <v>0</v>
      </c>
      <c r="G97" s="1534">
        <f>P2D!G97*1.1</f>
        <v>0</v>
      </c>
      <c r="H97" s="1535">
        <f>P2D!H97*1.1</f>
        <v>150.68252210000003</v>
      </c>
    </row>
    <row r="98" spans="1:8">
      <c r="A98" s="1419" t="s">
        <v>1106</v>
      </c>
      <c r="B98" s="1401" t="s">
        <v>1490</v>
      </c>
      <c r="C98" s="1534">
        <f>P2D!C98*1.1</f>
        <v>0</v>
      </c>
      <c r="D98" s="1534">
        <f>P2D!D98*1.1</f>
        <v>0</v>
      </c>
      <c r="E98" s="1534">
        <f>P2D!E98*1.1</f>
        <v>214.24068578000001</v>
      </c>
      <c r="F98" s="1534">
        <f>P2D!F98*1.1</f>
        <v>0</v>
      </c>
      <c r="G98" s="1534">
        <f>P2D!G98*1.1</f>
        <v>0</v>
      </c>
      <c r="H98" s="1535">
        <f>P2D!H98*1.1</f>
        <v>214.24068578000001</v>
      </c>
    </row>
    <row r="99" spans="1:8">
      <c r="A99" s="1419" t="s">
        <v>1106</v>
      </c>
      <c r="B99" s="1401" t="s">
        <v>1491</v>
      </c>
      <c r="C99" s="1534">
        <f>P2D!C99*1.1</f>
        <v>0</v>
      </c>
      <c r="D99" s="1534">
        <f>P2D!D99*1.1</f>
        <v>0</v>
      </c>
      <c r="E99" s="1534">
        <f>P2D!E99*1.1</f>
        <v>325.48604330000006</v>
      </c>
      <c r="F99" s="1534">
        <f>P2D!F99*1.1</f>
        <v>0</v>
      </c>
      <c r="G99" s="1534">
        <f>P2D!G99*1.1</f>
        <v>0</v>
      </c>
      <c r="H99" s="1535">
        <f>P2D!H99*1.1</f>
        <v>325.48604330000006</v>
      </c>
    </row>
    <row r="100" spans="1:8">
      <c r="A100" s="1419" t="s">
        <v>1106</v>
      </c>
      <c r="B100" s="1401" t="s">
        <v>1492</v>
      </c>
      <c r="C100" s="1534">
        <f>P2D!C100*1.1</f>
        <v>0</v>
      </c>
      <c r="D100" s="1534">
        <f>P2D!D100*1.1</f>
        <v>0</v>
      </c>
      <c r="E100" s="1534">
        <f>P2D!E100*1.1</f>
        <v>229.06482896000003</v>
      </c>
      <c r="F100" s="1534">
        <f>P2D!F100*1.1</f>
        <v>0</v>
      </c>
      <c r="G100" s="1534">
        <f>P2D!G100*1.1</f>
        <v>0</v>
      </c>
      <c r="H100" s="1535">
        <f>P2D!H100*1.1</f>
        <v>229.06482896000003</v>
      </c>
    </row>
    <row r="101" spans="1:8">
      <c r="A101" s="1419" t="s">
        <v>1106</v>
      </c>
      <c r="B101" s="1401" t="s">
        <v>1493</v>
      </c>
      <c r="C101" s="1534">
        <f>P2D!C101*1.1</f>
        <v>0</v>
      </c>
      <c r="D101" s="1534">
        <f>P2D!D101*1.1</f>
        <v>0</v>
      </c>
      <c r="E101" s="1534">
        <f>P2D!E101*1.1</f>
        <v>719.37118924000015</v>
      </c>
      <c r="F101" s="1534">
        <f>P2D!F101*1.1</f>
        <v>0</v>
      </c>
      <c r="G101" s="1534">
        <f>P2D!G101*1.1</f>
        <v>0</v>
      </c>
      <c r="H101" s="1535">
        <f>P2D!H101*1.1</f>
        <v>719.37118924000015</v>
      </c>
    </row>
    <row r="102" spans="1:8">
      <c r="A102" s="1419" t="s">
        <v>1106</v>
      </c>
      <c r="B102" s="1401" t="s">
        <v>1702</v>
      </c>
      <c r="C102" s="1534">
        <f>P2D!C102*1.1</f>
        <v>0</v>
      </c>
      <c r="D102" s="1534">
        <f>P2D!D102*1.1</f>
        <v>0</v>
      </c>
      <c r="E102" s="1534">
        <f>P2D!E102*1.1</f>
        <v>116.16119548000003</v>
      </c>
      <c r="F102" s="1534">
        <f>P2D!F102*1.1</f>
        <v>0</v>
      </c>
      <c r="G102" s="1534">
        <f>P2D!G102*1.1</f>
        <v>0</v>
      </c>
      <c r="H102" s="1535">
        <f>P2D!H102*1.1</f>
        <v>116.16119548000003</v>
      </c>
    </row>
    <row r="103" spans="1:8">
      <c r="A103" s="1419" t="s">
        <v>1106</v>
      </c>
      <c r="B103" s="1401" t="s">
        <v>1703</v>
      </c>
      <c r="C103" s="1534">
        <f>P2D!C103*1.1</f>
        <v>0</v>
      </c>
      <c r="D103" s="1534">
        <f>P2D!D103*1.1</f>
        <v>0</v>
      </c>
      <c r="E103" s="1534">
        <f>P2D!E103*1.1</f>
        <v>102.33115200000002</v>
      </c>
      <c r="F103" s="1534">
        <f>P2D!F103*1.1</f>
        <v>0</v>
      </c>
      <c r="G103" s="1534">
        <f>P2D!G103*1.1</f>
        <v>0</v>
      </c>
      <c r="H103" s="1535">
        <f>P2D!H103*1.1</f>
        <v>102.33115200000002</v>
      </c>
    </row>
    <row r="104" spans="1:8">
      <c r="A104" s="1419" t="s">
        <v>1106</v>
      </c>
      <c r="B104" s="1401" t="s">
        <v>1494</v>
      </c>
      <c r="C104" s="1534">
        <f>P2D!C104*1.1</f>
        <v>0</v>
      </c>
      <c r="D104" s="1534">
        <f>P2D!D104*1.1</f>
        <v>0</v>
      </c>
      <c r="E104" s="1534">
        <f>P2D!E104*1.1</f>
        <v>169.78816800000001</v>
      </c>
      <c r="F104" s="1534">
        <f>P2D!F104*1.1</f>
        <v>0</v>
      </c>
      <c r="G104" s="1534">
        <f>P2D!G104*1.1</f>
        <v>0</v>
      </c>
      <c r="H104" s="1535">
        <f>P2D!H104*1.1</f>
        <v>169.78816800000001</v>
      </c>
    </row>
    <row r="105" spans="1:8">
      <c r="A105" s="1419" t="s">
        <v>1106</v>
      </c>
      <c r="B105" s="1401" t="s">
        <v>1704</v>
      </c>
      <c r="C105" s="1534">
        <f>P2D!C105*1.1</f>
        <v>0</v>
      </c>
      <c r="D105" s="1534">
        <f>P2D!D105*1.1</f>
        <v>0</v>
      </c>
      <c r="E105" s="1534">
        <f>P2D!E105*1.1</f>
        <v>100.188</v>
      </c>
      <c r="F105" s="1534">
        <f>P2D!F105*1.1</f>
        <v>0</v>
      </c>
      <c r="G105" s="1534">
        <f>P2D!G105*1.1</f>
        <v>0</v>
      </c>
      <c r="H105" s="1535">
        <f>P2D!H105*1.1</f>
        <v>100.188</v>
      </c>
    </row>
    <row r="106" spans="1:8">
      <c r="A106" s="1419" t="s">
        <v>1106</v>
      </c>
      <c r="B106" s="1401" t="s">
        <v>1705</v>
      </c>
      <c r="C106" s="1534">
        <f>P2D!C106*1.1</f>
        <v>0</v>
      </c>
      <c r="D106" s="1534">
        <f>P2D!D106*1.1</f>
        <v>0</v>
      </c>
      <c r="E106" s="1534">
        <f>P2D!E106*1.1</f>
        <v>11.432413960000002</v>
      </c>
      <c r="F106" s="1534">
        <f>P2D!F106*1.1</f>
        <v>0</v>
      </c>
      <c r="G106" s="1534">
        <f>P2D!G106*1.1</f>
        <v>0</v>
      </c>
      <c r="H106" s="1535">
        <f>P2D!H106*1.1</f>
        <v>11.432413960000002</v>
      </c>
    </row>
    <row r="107" spans="1:8">
      <c r="A107" s="1419" t="s">
        <v>1106</v>
      </c>
      <c r="B107" s="1401" t="s">
        <v>1434</v>
      </c>
      <c r="C107" s="1534">
        <f>P2D!C107*1.1</f>
        <v>0</v>
      </c>
      <c r="D107" s="1534">
        <f>P2D!D107*1.1</f>
        <v>0</v>
      </c>
      <c r="E107" s="1534">
        <f>P2D!E107*1.1</f>
        <v>600.22626202000004</v>
      </c>
      <c r="F107" s="1534">
        <f>P2D!F107*1.1</f>
        <v>0</v>
      </c>
      <c r="G107" s="1534">
        <f>P2D!G107*1.1</f>
        <v>0</v>
      </c>
      <c r="H107" s="1535">
        <f>P2D!H107*1.1</f>
        <v>600.22626202000004</v>
      </c>
    </row>
    <row r="108" spans="1:8">
      <c r="A108" s="1419" t="s">
        <v>1106</v>
      </c>
      <c r="B108" s="1401" t="s">
        <v>1495</v>
      </c>
      <c r="C108" s="1534">
        <f>P2D!C108*1.1</f>
        <v>0</v>
      </c>
      <c r="D108" s="1534">
        <f>P2D!D108*1.1</f>
        <v>0</v>
      </c>
      <c r="E108" s="1534">
        <f>P2D!E108*1.1</f>
        <v>457.19411738000008</v>
      </c>
      <c r="F108" s="1534">
        <f>P2D!F108*1.1</f>
        <v>0</v>
      </c>
      <c r="G108" s="1534">
        <f>P2D!G108*1.1</f>
        <v>0</v>
      </c>
      <c r="H108" s="1535">
        <f>P2D!H108*1.1</f>
        <v>457.19411738000008</v>
      </c>
    </row>
    <row r="109" spans="1:8">
      <c r="A109" s="1419" t="s">
        <v>1106</v>
      </c>
      <c r="B109" s="1401" t="s">
        <v>1435</v>
      </c>
      <c r="C109" s="1534">
        <f>P2D!C109*1.1</f>
        <v>0</v>
      </c>
      <c r="D109" s="1534">
        <f>P2D!D109*1.1</f>
        <v>0</v>
      </c>
      <c r="E109" s="1534">
        <f>P2D!E109*1.1</f>
        <v>611.93685982000011</v>
      </c>
      <c r="F109" s="1534">
        <f>P2D!F109*1.1</f>
        <v>0</v>
      </c>
      <c r="G109" s="1534">
        <f>P2D!G109*1.1</f>
        <v>0</v>
      </c>
      <c r="H109" s="1535">
        <f>P2D!H109*1.1</f>
        <v>611.93685982000011</v>
      </c>
    </row>
    <row r="110" spans="1:8">
      <c r="A110" s="1419" t="s">
        <v>1106</v>
      </c>
      <c r="B110" s="1401" t="s">
        <v>1436</v>
      </c>
      <c r="C110" s="1534">
        <f>P2D!C110*1.1</f>
        <v>0</v>
      </c>
      <c r="D110" s="1534">
        <f>P2D!D110*1.1</f>
        <v>0</v>
      </c>
      <c r="E110" s="1534">
        <f>P2D!E110*1.1</f>
        <v>1084.4741547200001</v>
      </c>
      <c r="F110" s="1534">
        <f>P2D!F110*1.1</f>
        <v>0</v>
      </c>
      <c r="G110" s="1534">
        <f>P2D!G110*1.1</f>
        <v>0</v>
      </c>
      <c r="H110" s="1535">
        <f>P2D!H110*1.1</f>
        <v>1084.4741547200001</v>
      </c>
    </row>
    <row r="111" spans="1:8">
      <c r="A111" s="1419" t="s">
        <v>1106</v>
      </c>
      <c r="B111" s="1401" t="s">
        <v>1437</v>
      </c>
      <c r="C111" s="1534">
        <f>P2D!C111*1.1</f>
        <v>0</v>
      </c>
      <c r="D111" s="1534">
        <f>P2D!D111*1.1</f>
        <v>0</v>
      </c>
      <c r="E111" s="1534">
        <f>P2D!E111*1.1</f>
        <v>90.787212340000011</v>
      </c>
      <c r="F111" s="1534">
        <f>P2D!F111*1.1</f>
        <v>0</v>
      </c>
      <c r="G111" s="1534">
        <f>P2D!G111*1.1</f>
        <v>0</v>
      </c>
      <c r="H111" s="1535">
        <f>P2D!H111*1.1</f>
        <v>90.787212340000011</v>
      </c>
    </row>
    <row r="112" spans="1:8">
      <c r="A112" s="1419" t="s">
        <v>1106</v>
      </c>
      <c r="B112" s="1401" t="s">
        <v>1496</v>
      </c>
      <c r="C112" s="1534">
        <f>P2D!C112*1.1</f>
        <v>0</v>
      </c>
      <c r="D112" s="1534">
        <f>P2D!D112*1.1</f>
        <v>0</v>
      </c>
      <c r="E112" s="1534">
        <f>P2D!E112*1.1</f>
        <v>344.04777242000006</v>
      </c>
      <c r="F112" s="1534">
        <f>P2D!F112*1.1</f>
        <v>0</v>
      </c>
      <c r="G112" s="1534">
        <f>P2D!G112*1.1</f>
        <v>0</v>
      </c>
      <c r="H112" s="1535">
        <f>P2D!H112*1.1</f>
        <v>344.04777242000006</v>
      </c>
    </row>
    <row r="113" spans="1:8">
      <c r="A113" s="1419" t="s">
        <v>1106</v>
      </c>
      <c r="B113" s="1401" t="s">
        <v>1497</v>
      </c>
      <c r="C113" s="1534">
        <f>P2D!C113*1.1</f>
        <v>0</v>
      </c>
      <c r="D113" s="1534">
        <f>P2D!D113*1.1</f>
        <v>0</v>
      </c>
      <c r="E113" s="1534">
        <f>P2D!E113*1.1</f>
        <v>46.686487540000009</v>
      </c>
      <c r="F113" s="1534">
        <f>P2D!F113*1.1</f>
        <v>0</v>
      </c>
      <c r="G113" s="1534">
        <f>P2D!G113*1.1</f>
        <v>0</v>
      </c>
      <c r="H113" s="1535">
        <f>P2D!H113*1.1</f>
        <v>46.686487540000009</v>
      </c>
    </row>
    <row r="114" spans="1:8">
      <c r="A114" s="1419" t="s">
        <v>1106</v>
      </c>
      <c r="B114" s="1401" t="s">
        <v>2268</v>
      </c>
      <c r="C114" s="1534">
        <f>P2D!C114*1.1</f>
        <v>0</v>
      </c>
      <c r="D114" s="1534">
        <f>P2D!D114*1.1</f>
        <v>0</v>
      </c>
      <c r="E114" s="1534">
        <f>P2D!E114*1.1</f>
        <v>97.532776000000013</v>
      </c>
      <c r="F114" s="1534">
        <f>P2D!F114*1.1</f>
        <v>0</v>
      </c>
      <c r="G114" s="1534">
        <f>P2D!G114*1.1</f>
        <v>0</v>
      </c>
      <c r="H114" s="1535">
        <f>P2D!H114*1.1</f>
        <v>97.532776000000013</v>
      </c>
    </row>
    <row r="115" spans="1:8">
      <c r="A115" s="1419" t="s">
        <v>1106</v>
      </c>
      <c r="B115" s="1401" t="s">
        <v>2269</v>
      </c>
      <c r="C115" s="1534">
        <f>P2D!C115*1.1</f>
        <v>285.62259330000001</v>
      </c>
      <c r="D115" s="1534">
        <f>P2D!D115*1.1</f>
        <v>0</v>
      </c>
      <c r="E115" s="1534">
        <f>P2D!E115*1.1</f>
        <v>0</v>
      </c>
      <c r="F115" s="1534">
        <f>P2D!F115*1.1</f>
        <v>0</v>
      </c>
      <c r="G115" s="1534">
        <f>P2D!G115*1.1</f>
        <v>0</v>
      </c>
      <c r="H115" s="1535">
        <f>P2D!H115*1.1</f>
        <v>285.62259330000001</v>
      </c>
    </row>
    <row r="116" spans="1:8">
      <c r="A116" s="1419" t="s">
        <v>1106</v>
      </c>
      <c r="B116" s="1401" t="s">
        <v>1498</v>
      </c>
      <c r="C116" s="1534">
        <f>P2D!C116*1.1</f>
        <v>184.02758593999999</v>
      </c>
      <c r="D116" s="1534">
        <f>P2D!D116*1.1</f>
        <v>0</v>
      </c>
      <c r="E116" s="1534">
        <f>P2D!E116*1.1</f>
        <v>0</v>
      </c>
      <c r="F116" s="1534">
        <f>P2D!F116*1.1</f>
        <v>0</v>
      </c>
      <c r="G116" s="1534">
        <f>P2D!G116*1.1</f>
        <v>0</v>
      </c>
      <c r="H116" s="1535">
        <f>P2D!H116*1.1</f>
        <v>184.02758593999999</v>
      </c>
    </row>
    <row r="117" spans="1:8">
      <c r="A117" s="1419" t="s">
        <v>1106</v>
      </c>
      <c r="B117" s="1401" t="s">
        <v>1504</v>
      </c>
      <c r="C117" s="1534">
        <f>P2D!C117*1.1</f>
        <v>65.574178560000021</v>
      </c>
      <c r="D117" s="1534">
        <f>P2D!D117*1.1</f>
        <v>0</v>
      </c>
      <c r="E117" s="1534">
        <f>P2D!E117*1.1</f>
        <v>0</v>
      </c>
      <c r="F117" s="1534">
        <f>P2D!F117*1.1</f>
        <v>0</v>
      </c>
      <c r="G117" s="1534">
        <f>P2D!G117*1.1</f>
        <v>0</v>
      </c>
      <c r="H117" s="1535">
        <f>P2D!H117*1.1</f>
        <v>65.574178560000021</v>
      </c>
    </row>
    <row r="118" spans="1:8">
      <c r="A118" s="1419" t="s">
        <v>1106</v>
      </c>
      <c r="B118" s="1401" t="s">
        <v>1505</v>
      </c>
      <c r="C118" s="1534">
        <f>P2D!C118*1.1</f>
        <v>224.94107394000002</v>
      </c>
      <c r="D118" s="1534">
        <f>P2D!D118*1.1</f>
        <v>0</v>
      </c>
      <c r="E118" s="1534">
        <f>P2D!E118*1.1</f>
        <v>0</v>
      </c>
      <c r="F118" s="1534">
        <f>P2D!F118*1.1</f>
        <v>0</v>
      </c>
      <c r="G118" s="1534">
        <f>P2D!G118*1.1</f>
        <v>0</v>
      </c>
      <c r="H118" s="1535">
        <f>P2D!H118*1.1</f>
        <v>224.94107394000002</v>
      </c>
    </row>
    <row r="119" spans="1:8">
      <c r="A119" s="1419" t="s">
        <v>1106</v>
      </c>
      <c r="B119" s="1401" t="s">
        <v>1717</v>
      </c>
      <c r="C119" s="1534">
        <f>P2D!C119*1.1</f>
        <v>83.552920000000029</v>
      </c>
      <c r="D119" s="1534">
        <f>P2D!D119*1.1</f>
        <v>0</v>
      </c>
      <c r="E119" s="1534">
        <f>P2D!E119*1.1</f>
        <v>0</v>
      </c>
      <c r="F119" s="1534">
        <f>P2D!F119*1.1</f>
        <v>0</v>
      </c>
      <c r="G119" s="1534">
        <f>P2D!G119*1.1</f>
        <v>0</v>
      </c>
      <c r="H119" s="1535">
        <f>P2D!H119*1.1</f>
        <v>83.552920000000029</v>
      </c>
    </row>
    <row r="120" spans="1:8">
      <c r="A120" s="1419" t="s">
        <v>1106</v>
      </c>
      <c r="B120" s="1401" t="s">
        <v>1506</v>
      </c>
      <c r="C120" s="1534">
        <f>P2D!C120*1.1</f>
        <v>461.8901031800001</v>
      </c>
      <c r="D120" s="1534">
        <f>P2D!D120*1.1</f>
        <v>0</v>
      </c>
      <c r="E120" s="1534">
        <f>P2D!E120*1.1</f>
        <v>0</v>
      </c>
      <c r="F120" s="1534">
        <f>P2D!F120*1.1</f>
        <v>0</v>
      </c>
      <c r="G120" s="1534">
        <f>P2D!G120*1.1</f>
        <v>0</v>
      </c>
      <c r="H120" s="1535">
        <f>P2D!H120*1.1</f>
        <v>461.8901031800001</v>
      </c>
    </row>
    <row r="121" spans="1:8">
      <c r="A121" s="1419" t="s">
        <v>1106</v>
      </c>
      <c r="B121" s="1401" t="s">
        <v>1507</v>
      </c>
      <c r="C121" s="1534">
        <f>P2D!C121*1.1</f>
        <v>232.13284930000003</v>
      </c>
      <c r="D121" s="1534">
        <f>P2D!D121*1.1</f>
        <v>0</v>
      </c>
      <c r="E121" s="1534">
        <f>P2D!E121*1.1</f>
        <v>0</v>
      </c>
      <c r="F121" s="1534">
        <f>P2D!F121*1.1</f>
        <v>0</v>
      </c>
      <c r="G121" s="1534">
        <f>P2D!G121*1.1</f>
        <v>0</v>
      </c>
      <c r="H121" s="1535">
        <f>P2D!H121*1.1</f>
        <v>232.13284930000003</v>
      </c>
    </row>
    <row r="122" spans="1:8">
      <c r="A122" s="1419" t="s">
        <v>1106</v>
      </c>
      <c r="B122" s="1401" t="s">
        <v>1438</v>
      </c>
      <c r="C122" s="1534">
        <f>P2D!C122*1.1</f>
        <v>359.55048118000008</v>
      </c>
      <c r="D122" s="1534">
        <f>P2D!D122*1.1</f>
        <v>0</v>
      </c>
      <c r="E122" s="1534">
        <f>P2D!E122*1.1</f>
        <v>0</v>
      </c>
      <c r="F122" s="1534">
        <f>P2D!F122*1.1</f>
        <v>0</v>
      </c>
      <c r="G122" s="1534">
        <f>P2D!G122*1.1</f>
        <v>0</v>
      </c>
      <c r="H122" s="1535">
        <f>P2D!H122*1.1</f>
        <v>359.55048118000008</v>
      </c>
    </row>
    <row r="123" spans="1:8">
      <c r="A123" s="1419" t="s">
        <v>1106</v>
      </c>
      <c r="B123" s="1401" t="s">
        <v>1439</v>
      </c>
      <c r="C123" s="1534">
        <f>P2D!C123*1.1</f>
        <v>221.98291676000005</v>
      </c>
      <c r="D123" s="1534">
        <f>P2D!D123*1.1</f>
        <v>0</v>
      </c>
      <c r="E123" s="1534">
        <f>P2D!E123*1.1</f>
        <v>0</v>
      </c>
      <c r="F123" s="1534">
        <f>P2D!F123*1.1</f>
        <v>0</v>
      </c>
      <c r="G123" s="1534">
        <f>P2D!G123*1.1</f>
        <v>0</v>
      </c>
      <c r="H123" s="1535">
        <f>P2D!H123*1.1</f>
        <v>221.98291676000005</v>
      </c>
    </row>
    <row r="124" spans="1:8">
      <c r="A124" s="1419" t="s">
        <v>1106</v>
      </c>
      <c r="B124" s="1401" t="s">
        <v>1508</v>
      </c>
      <c r="C124" s="1534">
        <f>P2D!C124*1.1</f>
        <v>358.79222258000004</v>
      </c>
      <c r="D124" s="1534">
        <f>P2D!D124*1.1</f>
        <v>0</v>
      </c>
      <c r="E124" s="1534">
        <f>P2D!E124*1.1</f>
        <v>0</v>
      </c>
      <c r="F124" s="1534">
        <f>P2D!F124*1.1</f>
        <v>0</v>
      </c>
      <c r="G124" s="1534">
        <f>P2D!G124*1.1</f>
        <v>0</v>
      </c>
      <c r="H124" s="1535">
        <f>P2D!H124*1.1</f>
        <v>358.79222258000004</v>
      </c>
    </row>
    <row r="125" spans="1:8">
      <c r="A125" s="1419" t="s">
        <v>1106</v>
      </c>
      <c r="B125" s="1401" t="s">
        <v>1509</v>
      </c>
      <c r="C125" s="1534">
        <f>P2D!C125*1.1</f>
        <v>392.47361318000003</v>
      </c>
      <c r="D125" s="1534">
        <f>P2D!D125*1.1</f>
        <v>0</v>
      </c>
      <c r="E125" s="1534">
        <f>P2D!E125*1.1</f>
        <v>0</v>
      </c>
      <c r="F125" s="1534">
        <f>P2D!F125*1.1</f>
        <v>0</v>
      </c>
      <c r="G125" s="1534">
        <f>P2D!G125*1.1</f>
        <v>0</v>
      </c>
      <c r="H125" s="1535">
        <f>P2D!H125*1.1</f>
        <v>392.47361318000003</v>
      </c>
    </row>
    <row r="126" spans="1:8">
      <c r="A126" s="1419" t="s">
        <v>1106</v>
      </c>
      <c r="B126" s="1401" t="s">
        <v>1511</v>
      </c>
      <c r="C126" s="1534">
        <f>P2D!C126*1.1</f>
        <v>22.538094040000004</v>
      </c>
      <c r="D126" s="1534">
        <f>P2D!D126*1.1</f>
        <v>0</v>
      </c>
      <c r="E126" s="1534">
        <f>P2D!E126*1.1</f>
        <v>0</v>
      </c>
      <c r="F126" s="1534">
        <f>P2D!F126*1.1</f>
        <v>0</v>
      </c>
      <c r="G126" s="1534">
        <f>P2D!G126*1.1</f>
        <v>0</v>
      </c>
      <c r="H126" s="1535">
        <f>P2D!H126*1.1</f>
        <v>22.538094040000004</v>
      </c>
    </row>
    <row r="127" spans="1:8">
      <c r="A127" s="1419" t="s">
        <v>1106</v>
      </c>
      <c r="B127" s="1401" t="s">
        <v>1512</v>
      </c>
      <c r="C127" s="1534">
        <f>P2D!C127*1.1</f>
        <v>196.70896432000001</v>
      </c>
      <c r="D127" s="1534">
        <f>P2D!D127*1.1</f>
        <v>0</v>
      </c>
      <c r="E127" s="1534">
        <f>P2D!E127*1.1</f>
        <v>0</v>
      </c>
      <c r="F127" s="1534">
        <f>P2D!F127*1.1</f>
        <v>0</v>
      </c>
      <c r="G127" s="1534">
        <f>P2D!G127*1.1</f>
        <v>0</v>
      </c>
      <c r="H127" s="1535">
        <f>P2D!H127*1.1</f>
        <v>196.70896432000001</v>
      </c>
    </row>
    <row r="128" spans="1:8">
      <c r="A128" s="1419" t="s">
        <v>1106</v>
      </c>
      <c r="B128" s="1401" t="s">
        <v>1706</v>
      </c>
      <c r="C128" s="1534">
        <f>P2D!C128*1.1</f>
        <v>456.8822495600001</v>
      </c>
      <c r="D128" s="1534">
        <f>P2D!D128*1.1</f>
        <v>0</v>
      </c>
      <c r="E128" s="1534">
        <f>P2D!E128*1.1</f>
        <v>0</v>
      </c>
      <c r="F128" s="1534">
        <f>P2D!F128*1.1</f>
        <v>0</v>
      </c>
      <c r="G128" s="1534">
        <f>P2D!G128*1.1</f>
        <v>0</v>
      </c>
      <c r="H128" s="1535">
        <f>P2D!H128*1.1</f>
        <v>456.8822495600001</v>
      </c>
    </row>
    <row r="129" spans="1:8">
      <c r="A129" s="1419" t="s">
        <v>1106</v>
      </c>
      <c r="B129" s="1401" t="s">
        <v>1514</v>
      </c>
      <c r="C129" s="1534">
        <f>P2D!C129*1.1</f>
        <v>275.40453292000007</v>
      </c>
      <c r="D129" s="1534">
        <f>P2D!D129*1.1</f>
        <v>0</v>
      </c>
      <c r="E129" s="1534">
        <f>P2D!E129*1.1</f>
        <v>0</v>
      </c>
      <c r="F129" s="1534">
        <f>P2D!F129*1.1</f>
        <v>0</v>
      </c>
      <c r="G129" s="1534">
        <f>P2D!G129*1.1</f>
        <v>0</v>
      </c>
      <c r="H129" s="1535">
        <f>P2D!H129*1.1</f>
        <v>275.40453292000007</v>
      </c>
    </row>
    <row r="130" spans="1:8">
      <c r="A130" s="1419" t="s">
        <v>1106</v>
      </c>
      <c r="B130" s="1401" t="s">
        <v>1440</v>
      </c>
      <c r="C130" s="1534">
        <f>P2D!C130*1.1</f>
        <v>701.63379682000016</v>
      </c>
      <c r="D130" s="1534">
        <f>P2D!D130*1.1</f>
        <v>0</v>
      </c>
      <c r="E130" s="1534">
        <f>P2D!E130*1.1</f>
        <v>0</v>
      </c>
      <c r="F130" s="1534">
        <f>P2D!F130*1.1</f>
        <v>0</v>
      </c>
      <c r="G130" s="1534">
        <f>P2D!G130*1.1</f>
        <v>0</v>
      </c>
      <c r="H130" s="1535">
        <f>P2D!H130*1.1</f>
        <v>701.63379682000016</v>
      </c>
    </row>
    <row r="131" spans="1:8">
      <c r="A131" s="1419" t="s">
        <v>1106</v>
      </c>
      <c r="B131" s="1401" t="s">
        <v>1515</v>
      </c>
      <c r="C131" s="1534">
        <f>P2D!C131*1.1</f>
        <v>221.38754110000002</v>
      </c>
      <c r="D131" s="1534">
        <f>P2D!D131*1.1</f>
        <v>0</v>
      </c>
      <c r="E131" s="1534">
        <f>P2D!E131*1.1</f>
        <v>0</v>
      </c>
      <c r="F131" s="1534">
        <f>P2D!F131*1.1</f>
        <v>0</v>
      </c>
      <c r="G131" s="1534">
        <f>P2D!G131*1.1</f>
        <v>0</v>
      </c>
      <c r="H131" s="1535">
        <f>P2D!H131*1.1</f>
        <v>221.38754110000002</v>
      </c>
    </row>
    <row r="132" spans="1:8">
      <c r="A132" s="1419" t="s">
        <v>1106</v>
      </c>
      <c r="B132" s="1401" t="s">
        <v>1516</v>
      </c>
      <c r="C132" s="1534">
        <f>P2D!C132*1.1</f>
        <v>354.62927566000002</v>
      </c>
      <c r="D132" s="1534">
        <f>P2D!D132*1.1</f>
        <v>0</v>
      </c>
      <c r="E132" s="1534">
        <f>P2D!E132*1.1</f>
        <v>0</v>
      </c>
      <c r="F132" s="1534">
        <f>P2D!F132*1.1</f>
        <v>0</v>
      </c>
      <c r="G132" s="1534">
        <f>P2D!G132*1.1</f>
        <v>0</v>
      </c>
      <c r="H132" s="1535">
        <f>P2D!H132*1.1</f>
        <v>354.62927566000002</v>
      </c>
    </row>
    <row r="133" spans="1:8">
      <c r="A133" s="1419" t="s">
        <v>1106</v>
      </c>
      <c r="B133" s="1401" t="s">
        <v>1517</v>
      </c>
      <c r="C133" s="1534">
        <f>P2D!C133*1.1</f>
        <v>95.691961860000021</v>
      </c>
      <c r="D133" s="1534">
        <f>P2D!D133*1.1</f>
        <v>0</v>
      </c>
      <c r="E133" s="1534">
        <f>P2D!E133*1.1</f>
        <v>0</v>
      </c>
      <c r="F133" s="1534">
        <f>P2D!F133*1.1</f>
        <v>0</v>
      </c>
      <c r="G133" s="1534">
        <f>P2D!G133*1.1</f>
        <v>0</v>
      </c>
      <c r="H133" s="1535">
        <f>P2D!H133*1.1</f>
        <v>95.691961860000021</v>
      </c>
    </row>
    <row r="134" spans="1:8">
      <c r="A134" s="1419" t="s">
        <v>1106</v>
      </c>
      <c r="B134" s="1401" t="s">
        <v>1441</v>
      </c>
      <c r="C134" s="1534">
        <f>P2D!C134*1.1</f>
        <v>142.74859324000005</v>
      </c>
      <c r="D134" s="1534">
        <f>P2D!D134*1.1</f>
        <v>0</v>
      </c>
      <c r="E134" s="1534">
        <f>P2D!E134*1.1</f>
        <v>0</v>
      </c>
      <c r="F134" s="1534">
        <f>P2D!F134*1.1</f>
        <v>0</v>
      </c>
      <c r="G134" s="1534">
        <f>P2D!G134*1.1</f>
        <v>0</v>
      </c>
      <c r="H134" s="1535">
        <f>P2D!H134*1.1</f>
        <v>142.74859324000005</v>
      </c>
    </row>
    <row r="135" spans="1:8">
      <c r="A135" s="1419" t="s">
        <v>1106</v>
      </c>
      <c r="B135" s="1401" t="s">
        <v>1519</v>
      </c>
      <c r="C135" s="1534">
        <f>P2D!C135*1.1</f>
        <v>181.61821458000003</v>
      </c>
      <c r="D135" s="1534">
        <f>P2D!D135*1.1</f>
        <v>0</v>
      </c>
      <c r="E135" s="1534">
        <f>P2D!E135*1.1</f>
        <v>0</v>
      </c>
      <c r="F135" s="1534">
        <f>P2D!F135*1.1</f>
        <v>0</v>
      </c>
      <c r="G135" s="1534">
        <f>P2D!G135*1.1</f>
        <v>0</v>
      </c>
      <c r="H135" s="1535">
        <f>P2D!H135*1.1</f>
        <v>181.61821458000003</v>
      </c>
    </row>
    <row r="136" spans="1:8">
      <c r="A136" s="1419" t="s">
        <v>1106</v>
      </c>
      <c r="B136" s="1401" t="s">
        <v>1520</v>
      </c>
      <c r="C136" s="1534">
        <f>P2D!C136*1.1</f>
        <v>266.82989696000004</v>
      </c>
      <c r="D136" s="1534">
        <f>P2D!D136*1.1</f>
        <v>0</v>
      </c>
      <c r="E136" s="1534">
        <f>P2D!E136*1.1</f>
        <v>0</v>
      </c>
      <c r="F136" s="1534">
        <f>P2D!F136*1.1</f>
        <v>0</v>
      </c>
      <c r="G136" s="1534">
        <f>P2D!G136*1.1</f>
        <v>0</v>
      </c>
      <c r="H136" s="1535">
        <f>P2D!H136*1.1</f>
        <v>266.82989696000004</v>
      </c>
    </row>
    <row r="137" spans="1:8">
      <c r="A137" s="1419" t="s">
        <v>1106</v>
      </c>
      <c r="B137" s="1401" t="s">
        <v>1521</v>
      </c>
      <c r="C137" s="1534">
        <f>P2D!C137*1.1</f>
        <v>220.94836192000005</v>
      </c>
      <c r="D137" s="1534">
        <f>P2D!D137*1.1</f>
        <v>0</v>
      </c>
      <c r="E137" s="1534">
        <f>P2D!E137*1.1</f>
        <v>0</v>
      </c>
      <c r="F137" s="1534">
        <f>P2D!F137*1.1</f>
        <v>0</v>
      </c>
      <c r="G137" s="1534">
        <f>P2D!G137*1.1</f>
        <v>0</v>
      </c>
      <c r="H137" s="1535">
        <f>P2D!H137*1.1</f>
        <v>220.94836192000005</v>
      </c>
    </row>
    <row r="138" spans="1:8">
      <c r="A138" s="1419" t="s">
        <v>1106</v>
      </c>
      <c r="B138" s="1401" t="s">
        <v>1522</v>
      </c>
      <c r="C138" s="1534">
        <f>P2D!C138*1.1</f>
        <v>91.097439400000013</v>
      </c>
      <c r="D138" s="1534">
        <f>P2D!D138*1.1</f>
        <v>0</v>
      </c>
      <c r="E138" s="1534">
        <f>P2D!E138*1.1</f>
        <v>0</v>
      </c>
      <c r="F138" s="1534">
        <f>P2D!F138*1.1</f>
        <v>0</v>
      </c>
      <c r="G138" s="1534">
        <f>P2D!G138*1.1</f>
        <v>0</v>
      </c>
      <c r="H138" s="1535">
        <f>P2D!H138*1.1</f>
        <v>91.097439400000013</v>
      </c>
    </row>
    <row r="139" spans="1:8">
      <c r="A139" s="1419" t="s">
        <v>1106</v>
      </c>
      <c r="B139" s="1401" t="s">
        <v>1444</v>
      </c>
      <c r="C139" s="1534">
        <f>P2D!C139*1.1</f>
        <v>566.46056346000012</v>
      </c>
      <c r="D139" s="1534">
        <f>P2D!D139*1.1</f>
        <v>0</v>
      </c>
      <c r="E139" s="1534">
        <f>P2D!E139*1.1</f>
        <v>0</v>
      </c>
      <c r="F139" s="1534">
        <f>P2D!F139*1.1</f>
        <v>0</v>
      </c>
      <c r="G139" s="1534">
        <f>P2D!G139*1.1</f>
        <v>0</v>
      </c>
      <c r="H139" s="1535">
        <f>P2D!H139*1.1</f>
        <v>566.46056346000012</v>
      </c>
    </row>
    <row r="140" spans="1:8">
      <c r="A140" s="1419" t="s">
        <v>1106</v>
      </c>
      <c r="B140" s="1401" t="s">
        <v>1524</v>
      </c>
      <c r="C140" s="1534">
        <f>P2D!C140*1.1</f>
        <v>662.00083246000008</v>
      </c>
      <c r="D140" s="1534">
        <f>P2D!D140*1.1</f>
        <v>0</v>
      </c>
      <c r="E140" s="1534">
        <f>P2D!E140*1.1</f>
        <v>0</v>
      </c>
      <c r="F140" s="1534">
        <f>P2D!F140*1.1</f>
        <v>0</v>
      </c>
      <c r="G140" s="1534">
        <f>P2D!G140*1.1</f>
        <v>0</v>
      </c>
      <c r="H140" s="1535">
        <f>P2D!H140*1.1</f>
        <v>662.00083246000008</v>
      </c>
    </row>
    <row r="141" spans="1:8">
      <c r="A141" s="1419" t="s">
        <v>1106</v>
      </c>
      <c r="B141" s="1401" t="s">
        <v>1525</v>
      </c>
      <c r="C141" s="1534">
        <f>P2D!C141*1.1</f>
        <v>120.36842598000001</v>
      </c>
      <c r="D141" s="1534">
        <f>P2D!D141*1.1</f>
        <v>0</v>
      </c>
      <c r="E141" s="1534">
        <f>P2D!E141*1.1</f>
        <v>0</v>
      </c>
      <c r="F141" s="1534">
        <f>P2D!F141*1.1</f>
        <v>0</v>
      </c>
      <c r="G141" s="1534">
        <f>P2D!G141*1.1</f>
        <v>0</v>
      </c>
      <c r="H141" s="1535">
        <f>P2D!H141*1.1</f>
        <v>120.36842598000001</v>
      </c>
    </row>
    <row r="142" spans="1:8">
      <c r="A142" s="1419" t="s">
        <v>1106</v>
      </c>
      <c r="B142" s="1401" t="s">
        <v>1526</v>
      </c>
      <c r="C142" s="1534">
        <f>P2D!C142*1.1</f>
        <v>46.519744700000004</v>
      </c>
      <c r="D142" s="1534">
        <f>P2D!D142*1.1</f>
        <v>0</v>
      </c>
      <c r="E142" s="1534">
        <f>P2D!E142*1.1</f>
        <v>0</v>
      </c>
      <c r="F142" s="1534">
        <f>P2D!F142*1.1</f>
        <v>0</v>
      </c>
      <c r="G142" s="1534">
        <f>P2D!G142*1.1</f>
        <v>0</v>
      </c>
      <c r="H142" s="1535">
        <f>P2D!H142*1.1</f>
        <v>46.519744700000004</v>
      </c>
    </row>
    <row r="143" spans="1:8">
      <c r="A143" s="1419" t="s">
        <v>1106</v>
      </c>
      <c r="B143" s="1401" t="s">
        <v>1527</v>
      </c>
      <c r="C143" s="1534">
        <f>P2D!C143*1.1</f>
        <v>52.45580626000001</v>
      </c>
      <c r="D143" s="1534">
        <f>P2D!D143*1.1</f>
        <v>0</v>
      </c>
      <c r="E143" s="1534">
        <f>P2D!E143*1.1</f>
        <v>0</v>
      </c>
      <c r="F143" s="1534">
        <f>P2D!F143*1.1</f>
        <v>0</v>
      </c>
      <c r="G143" s="1534">
        <f>P2D!G143*1.1</f>
        <v>0</v>
      </c>
      <c r="H143" s="1535">
        <f>P2D!H143*1.1</f>
        <v>52.45580626000001</v>
      </c>
    </row>
    <row r="144" spans="1:8">
      <c r="A144" s="1419" t="s">
        <v>1106</v>
      </c>
      <c r="B144" s="1401" t="s">
        <v>1528</v>
      </c>
      <c r="C144" s="1534">
        <f>P2D!C144*1.1</f>
        <v>296.41776318000001</v>
      </c>
      <c r="D144" s="1534">
        <f>P2D!D144*1.1</f>
        <v>0</v>
      </c>
      <c r="E144" s="1534">
        <f>P2D!E144*1.1</f>
        <v>0</v>
      </c>
      <c r="F144" s="1534">
        <f>P2D!F144*1.1</f>
        <v>0</v>
      </c>
      <c r="G144" s="1534">
        <f>P2D!G144*1.1</f>
        <v>0</v>
      </c>
      <c r="H144" s="1535">
        <f>P2D!H144*1.1</f>
        <v>296.41776318000001</v>
      </c>
    </row>
    <row r="145" spans="1:8">
      <c r="A145" s="1419" t="s">
        <v>1106</v>
      </c>
      <c r="B145" s="1401" t="s">
        <v>1529</v>
      </c>
      <c r="C145" s="1534">
        <f>P2D!C145*1.1</f>
        <v>144.91878390000002</v>
      </c>
      <c r="D145" s="1534">
        <f>P2D!D145*1.1</f>
        <v>0</v>
      </c>
      <c r="E145" s="1534">
        <f>P2D!E145*1.1</f>
        <v>0</v>
      </c>
      <c r="F145" s="1534">
        <f>P2D!F145*1.1</f>
        <v>0</v>
      </c>
      <c r="G145" s="1534">
        <f>P2D!G145*1.1</f>
        <v>0</v>
      </c>
      <c r="H145" s="1535">
        <f>P2D!H145*1.1</f>
        <v>144.91878390000002</v>
      </c>
    </row>
    <row r="146" spans="1:8">
      <c r="A146" s="1419" t="s">
        <v>1106</v>
      </c>
      <c r="B146" s="1401" t="s">
        <v>1530</v>
      </c>
      <c r="C146" s="1534">
        <f>P2D!C146*1.1</f>
        <v>166.20568470000003</v>
      </c>
      <c r="D146" s="1534">
        <f>P2D!D146*1.1</f>
        <v>0</v>
      </c>
      <c r="E146" s="1534">
        <f>P2D!E146*1.1</f>
        <v>0</v>
      </c>
      <c r="F146" s="1534">
        <f>P2D!F146*1.1</f>
        <v>0</v>
      </c>
      <c r="G146" s="1534">
        <f>P2D!G146*1.1</f>
        <v>0</v>
      </c>
      <c r="H146" s="1535">
        <f>P2D!H146*1.1</f>
        <v>166.20568470000003</v>
      </c>
    </row>
    <row r="147" spans="1:8">
      <c r="A147" s="1419" t="s">
        <v>1106</v>
      </c>
      <c r="B147" s="1401" t="s">
        <v>1445</v>
      </c>
      <c r="C147" s="1534">
        <f>P2D!C147*1.1</f>
        <v>321.23938616000009</v>
      </c>
      <c r="D147" s="1534">
        <f>P2D!D147*1.1</f>
        <v>0</v>
      </c>
      <c r="E147" s="1534">
        <f>P2D!E147*1.1</f>
        <v>0</v>
      </c>
      <c r="F147" s="1534">
        <f>P2D!F147*1.1</f>
        <v>0</v>
      </c>
      <c r="G147" s="1534">
        <f>P2D!G147*1.1</f>
        <v>0</v>
      </c>
      <c r="H147" s="1535">
        <f>P2D!H147*1.1</f>
        <v>321.23938616000009</v>
      </c>
    </row>
    <row r="148" spans="1:8">
      <c r="A148" s="1419" t="s">
        <v>1106</v>
      </c>
      <c r="B148" s="1401" t="s">
        <v>1446</v>
      </c>
      <c r="C148" s="1534">
        <f>P2D!C148*1.1</f>
        <v>211.01685616</v>
      </c>
      <c r="D148" s="1534">
        <f>P2D!D148*1.1</f>
        <v>0</v>
      </c>
      <c r="E148" s="1534">
        <f>P2D!E148*1.1</f>
        <v>0</v>
      </c>
      <c r="F148" s="1534">
        <f>P2D!F148*1.1</f>
        <v>0</v>
      </c>
      <c r="G148" s="1534">
        <f>P2D!G148*1.1</f>
        <v>0</v>
      </c>
      <c r="H148" s="1535">
        <f>P2D!H148*1.1</f>
        <v>211.01685616</v>
      </c>
    </row>
    <row r="149" spans="1:8">
      <c r="A149" s="1419" t="s">
        <v>1106</v>
      </c>
      <c r="B149" s="1401" t="s">
        <v>1532</v>
      </c>
      <c r="C149" s="1534">
        <f>P2D!C149*1.1</f>
        <v>192.97160102000001</v>
      </c>
      <c r="D149" s="1534">
        <f>P2D!D149*1.1</f>
        <v>0</v>
      </c>
      <c r="E149" s="1534">
        <f>P2D!E149*1.1</f>
        <v>0</v>
      </c>
      <c r="F149" s="1534">
        <f>P2D!F149*1.1</f>
        <v>0</v>
      </c>
      <c r="G149" s="1534">
        <f>P2D!G149*1.1</f>
        <v>0</v>
      </c>
      <c r="H149" s="1535">
        <f>P2D!H149*1.1</f>
        <v>192.97160102000001</v>
      </c>
    </row>
    <row r="150" spans="1:8">
      <c r="A150" s="1419" t="s">
        <v>1106</v>
      </c>
      <c r="B150" s="1401" t="s">
        <v>1538</v>
      </c>
      <c r="C150" s="1534">
        <f>P2D!C150*1.1</f>
        <v>532.37263222000001</v>
      </c>
      <c r="D150" s="1534">
        <f>P2D!D150*1.1</f>
        <v>0</v>
      </c>
      <c r="E150" s="1534">
        <f>P2D!E150*1.1</f>
        <v>0</v>
      </c>
      <c r="F150" s="1534">
        <f>P2D!F150*1.1</f>
        <v>0</v>
      </c>
      <c r="G150" s="1534">
        <f>P2D!G150*1.1</f>
        <v>0</v>
      </c>
      <c r="H150" s="1535">
        <f>P2D!H150*1.1</f>
        <v>532.37263222000001</v>
      </c>
    </row>
    <row r="151" spans="1:8">
      <c r="A151" s="1419" t="s">
        <v>1106</v>
      </c>
      <c r="B151" s="1401" t="s">
        <v>1533</v>
      </c>
      <c r="C151" s="1534">
        <f>P2D!C151*1.1</f>
        <v>311.11792734000005</v>
      </c>
      <c r="D151" s="1534">
        <f>P2D!D151*1.1</f>
        <v>0</v>
      </c>
      <c r="E151" s="1534">
        <f>P2D!E151*1.1</f>
        <v>0</v>
      </c>
      <c r="F151" s="1534">
        <f>P2D!F151*1.1</f>
        <v>0</v>
      </c>
      <c r="G151" s="1534">
        <f>P2D!G151*1.1</f>
        <v>0</v>
      </c>
      <c r="H151" s="1535">
        <f>P2D!H151*1.1</f>
        <v>311.11792734000005</v>
      </c>
    </row>
    <row r="152" spans="1:8">
      <c r="A152" s="1419" t="s">
        <v>1106</v>
      </c>
      <c r="B152" s="1401" t="s">
        <v>1534</v>
      </c>
      <c r="C152" s="1534">
        <f>P2D!C152*1.1</f>
        <v>132.59129180000002</v>
      </c>
      <c r="D152" s="1534">
        <f>P2D!D152*1.1</f>
        <v>0</v>
      </c>
      <c r="E152" s="1534">
        <f>P2D!E152*1.1</f>
        <v>0</v>
      </c>
      <c r="F152" s="1534">
        <f>P2D!F152*1.1</f>
        <v>0</v>
      </c>
      <c r="G152" s="1534">
        <f>P2D!G152*1.1</f>
        <v>0</v>
      </c>
      <c r="H152" s="1535">
        <f>P2D!H152*1.1</f>
        <v>132.59129180000002</v>
      </c>
    </row>
    <row r="153" spans="1:8">
      <c r="A153" s="1419" t="s">
        <v>1106</v>
      </c>
      <c r="B153" s="1401" t="s">
        <v>1447</v>
      </c>
      <c r="C153" s="1534">
        <f>P2D!C153*1.1</f>
        <v>257.55289230000005</v>
      </c>
      <c r="D153" s="1534">
        <f>P2D!D153*1.1</f>
        <v>0</v>
      </c>
      <c r="E153" s="1534">
        <f>P2D!E153*1.1</f>
        <v>0</v>
      </c>
      <c r="F153" s="1534">
        <f>P2D!F153*1.1</f>
        <v>0</v>
      </c>
      <c r="G153" s="1534">
        <f>P2D!G153*1.1</f>
        <v>0</v>
      </c>
      <c r="H153" s="1535">
        <f>P2D!H153*1.1</f>
        <v>257.55289230000005</v>
      </c>
    </row>
    <row r="154" spans="1:8">
      <c r="A154" s="1419" t="s">
        <v>1106</v>
      </c>
      <c r="B154" s="1401" t="s">
        <v>1535</v>
      </c>
      <c r="C154" s="1534">
        <f>P2D!C154*1.1</f>
        <v>190.91941198000004</v>
      </c>
      <c r="D154" s="1534">
        <f>P2D!D154*1.1</f>
        <v>0</v>
      </c>
      <c r="E154" s="1534">
        <f>P2D!E154*1.1</f>
        <v>0</v>
      </c>
      <c r="F154" s="1534">
        <f>P2D!F154*1.1</f>
        <v>0</v>
      </c>
      <c r="G154" s="1534">
        <f>P2D!G154*1.1</f>
        <v>0</v>
      </c>
      <c r="H154" s="1535">
        <f>P2D!H154*1.1</f>
        <v>190.91941198000004</v>
      </c>
    </row>
    <row r="155" spans="1:8">
      <c r="A155" s="1419" t="s">
        <v>1106</v>
      </c>
      <c r="B155" s="1401" t="s">
        <v>1536</v>
      </c>
      <c r="C155" s="1534">
        <f>P2D!C155*1.1</f>
        <v>78.960253680000008</v>
      </c>
      <c r="D155" s="1534">
        <f>P2D!D155*1.1</f>
        <v>0</v>
      </c>
      <c r="E155" s="1534">
        <f>P2D!E155*1.1</f>
        <v>0</v>
      </c>
      <c r="F155" s="1534">
        <f>P2D!F155*1.1</f>
        <v>0</v>
      </c>
      <c r="G155" s="1534">
        <f>P2D!G155*1.1</f>
        <v>0</v>
      </c>
      <c r="H155" s="1535">
        <f>P2D!H155*1.1</f>
        <v>78.960253680000008</v>
      </c>
    </row>
    <row r="156" spans="1:8">
      <c r="A156" s="1419" t="s">
        <v>1106</v>
      </c>
      <c r="B156" s="1401" t="s">
        <v>1537</v>
      </c>
      <c r="C156" s="1534">
        <f>P2D!C156*1.1</f>
        <v>542.60364928000013</v>
      </c>
      <c r="D156" s="1534">
        <f>P2D!D156*1.1</f>
        <v>0</v>
      </c>
      <c r="E156" s="1534">
        <f>P2D!E156*1.1</f>
        <v>0</v>
      </c>
      <c r="F156" s="1534">
        <f>P2D!F156*1.1</f>
        <v>0</v>
      </c>
      <c r="G156" s="1534">
        <f>P2D!G156*1.1</f>
        <v>0</v>
      </c>
      <c r="H156" s="1535">
        <f>P2D!H156*1.1</f>
        <v>542.60364928000013</v>
      </c>
    </row>
    <row r="157" spans="1:8">
      <c r="A157" s="1419" t="s">
        <v>1106</v>
      </c>
      <c r="B157" s="1401" t="s">
        <v>1448</v>
      </c>
      <c r="C157" s="1534">
        <f>P2D!C157*1.1</f>
        <v>607.16629930000011</v>
      </c>
      <c r="D157" s="1534">
        <f>P2D!D157*1.1</f>
        <v>0</v>
      </c>
      <c r="E157" s="1534">
        <f>P2D!E157*1.1</f>
        <v>0</v>
      </c>
      <c r="F157" s="1534">
        <f>P2D!F157*1.1</f>
        <v>0</v>
      </c>
      <c r="G157" s="1534">
        <f>P2D!G157*1.1</f>
        <v>0</v>
      </c>
      <c r="H157" s="1535">
        <f>P2D!H157*1.1</f>
        <v>607.16629930000011</v>
      </c>
    </row>
    <row r="158" spans="1:8">
      <c r="A158" s="1419" t="s">
        <v>1106</v>
      </c>
      <c r="B158" s="1401" t="s">
        <v>1539</v>
      </c>
      <c r="C158" s="1534">
        <f>P2D!C158*1.1</f>
        <v>131.94198886000004</v>
      </c>
      <c r="D158" s="1534">
        <f>P2D!D158*1.1</f>
        <v>0</v>
      </c>
      <c r="E158" s="1534">
        <f>P2D!E158*1.1</f>
        <v>0</v>
      </c>
      <c r="F158" s="1534">
        <f>P2D!F158*1.1</f>
        <v>0</v>
      </c>
      <c r="G158" s="1534">
        <f>P2D!G158*1.1</f>
        <v>0</v>
      </c>
      <c r="H158" s="1535">
        <f>P2D!H158*1.1</f>
        <v>131.94198886000004</v>
      </c>
    </row>
    <row r="159" spans="1:8">
      <c r="A159" s="1419" t="s">
        <v>1106</v>
      </c>
      <c r="B159" s="1401" t="s">
        <v>1541</v>
      </c>
      <c r="C159" s="1534">
        <f>P2D!C159*1.1</f>
        <v>85.860798980000027</v>
      </c>
      <c r="D159" s="1534">
        <f>P2D!D159*1.1</f>
        <v>0</v>
      </c>
      <c r="E159" s="1534">
        <f>P2D!E159*1.1</f>
        <v>0</v>
      </c>
      <c r="F159" s="1534">
        <f>P2D!F159*1.1</f>
        <v>0</v>
      </c>
      <c r="G159" s="1534">
        <f>P2D!G159*1.1</f>
        <v>0</v>
      </c>
      <c r="H159" s="1535">
        <f>P2D!H159*1.1</f>
        <v>85.860798980000027</v>
      </c>
    </row>
    <row r="160" spans="1:8">
      <c r="A160" s="1419" t="s">
        <v>1106</v>
      </c>
      <c r="B160" s="1401" t="s">
        <v>2270</v>
      </c>
      <c r="C160" s="1534">
        <f>P2D!C160*1.1</f>
        <v>267.55623576000005</v>
      </c>
      <c r="D160" s="1534">
        <f>P2D!D160*1.1</f>
        <v>0</v>
      </c>
      <c r="E160" s="1534">
        <f>P2D!E160*1.1</f>
        <v>0</v>
      </c>
      <c r="F160" s="1534">
        <f>P2D!F160*1.1</f>
        <v>0</v>
      </c>
      <c r="G160" s="1534">
        <f>P2D!G160*1.1</f>
        <v>0</v>
      </c>
      <c r="H160" s="1535">
        <f>P2D!H160*1.1</f>
        <v>267.55623576000005</v>
      </c>
    </row>
    <row r="161" spans="1:8">
      <c r="A161" s="1419" t="s">
        <v>1106</v>
      </c>
      <c r="B161" s="1401" t="s">
        <v>1449</v>
      </c>
      <c r="C161" s="1534">
        <f>P2D!C161*1.1</f>
        <v>401.85574022000009</v>
      </c>
      <c r="D161" s="1534">
        <f>P2D!D161*1.1</f>
        <v>0</v>
      </c>
      <c r="E161" s="1534">
        <f>P2D!E161*1.1</f>
        <v>0</v>
      </c>
      <c r="F161" s="1534">
        <f>P2D!F161*1.1</f>
        <v>0</v>
      </c>
      <c r="G161" s="1534">
        <f>P2D!G161*1.1</f>
        <v>0</v>
      </c>
      <c r="H161" s="1535">
        <f>P2D!H161*1.1</f>
        <v>401.85574022000009</v>
      </c>
    </row>
    <row r="162" spans="1:8">
      <c r="A162" s="1419" t="s">
        <v>1106</v>
      </c>
      <c r="B162" s="1401" t="s">
        <v>1698</v>
      </c>
      <c r="C162" s="1534">
        <f>P2D!C162*1.1</f>
        <v>252.97568736000005</v>
      </c>
      <c r="D162" s="1534">
        <f>P2D!D162*1.1</f>
        <v>0</v>
      </c>
      <c r="E162" s="1534">
        <f>P2D!E162*1.1</f>
        <v>0</v>
      </c>
      <c r="F162" s="1534">
        <f>P2D!F162*1.1</f>
        <v>0</v>
      </c>
      <c r="G162" s="1534">
        <f>P2D!G162*1.1</f>
        <v>0</v>
      </c>
      <c r="H162" s="1535">
        <f>P2D!H162*1.1</f>
        <v>252.97568736000005</v>
      </c>
    </row>
    <row r="163" spans="1:8">
      <c r="A163" s="1419" t="s">
        <v>1106</v>
      </c>
      <c r="B163" s="1401" t="s">
        <v>1699</v>
      </c>
      <c r="C163" s="1534">
        <f>P2D!C163*1.1</f>
        <v>434.72025982000002</v>
      </c>
      <c r="D163" s="1534">
        <f>P2D!D163*1.1</f>
        <v>0</v>
      </c>
      <c r="E163" s="1534">
        <f>P2D!E163*1.1</f>
        <v>0</v>
      </c>
      <c r="F163" s="1534">
        <f>P2D!F163*1.1</f>
        <v>0</v>
      </c>
      <c r="G163" s="1534">
        <f>P2D!G163*1.1</f>
        <v>0</v>
      </c>
      <c r="H163" s="1535">
        <f>P2D!H163*1.1</f>
        <v>434.72025982000002</v>
      </c>
    </row>
    <row r="164" spans="1:8">
      <c r="A164" s="1419" t="s">
        <v>1106</v>
      </c>
      <c r="B164" s="1401" t="s">
        <v>1450</v>
      </c>
      <c r="C164" s="1534">
        <f>P2D!C164*1.1</f>
        <v>571.9611484400001</v>
      </c>
      <c r="D164" s="1534">
        <f>P2D!D164*1.1</f>
        <v>0</v>
      </c>
      <c r="E164" s="1534">
        <f>P2D!E164*1.1</f>
        <v>0</v>
      </c>
      <c r="F164" s="1534">
        <f>P2D!F164*1.1</f>
        <v>0</v>
      </c>
      <c r="G164" s="1534">
        <f>P2D!G164*1.1</f>
        <v>0</v>
      </c>
      <c r="H164" s="1535">
        <f>P2D!H164*1.1</f>
        <v>571.9611484400001</v>
      </c>
    </row>
    <row r="165" spans="1:8">
      <c r="A165" s="1419" t="s">
        <v>1106</v>
      </c>
      <c r="B165" s="1401" t="s">
        <v>1542</v>
      </c>
      <c r="C165" s="1534">
        <f>P2D!C165*1.1</f>
        <v>283.13739124000006</v>
      </c>
      <c r="D165" s="1534">
        <f>P2D!D165*1.1</f>
        <v>0</v>
      </c>
      <c r="E165" s="1534">
        <f>P2D!E165*1.1</f>
        <v>0</v>
      </c>
      <c r="F165" s="1534">
        <f>P2D!F165*1.1</f>
        <v>0</v>
      </c>
      <c r="G165" s="1534">
        <f>P2D!G165*1.1</f>
        <v>0</v>
      </c>
      <c r="H165" s="1535">
        <f>P2D!H165*1.1</f>
        <v>283.13739124000006</v>
      </c>
    </row>
    <row r="166" spans="1:8">
      <c r="A166" s="1419" t="s">
        <v>1106</v>
      </c>
      <c r="B166" s="1401" t="s">
        <v>1700</v>
      </c>
      <c r="C166" s="1534">
        <f>P2D!C166*1.1</f>
        <v>27.563173220000007</v>
      </c>
      <c r="D166" s="1534">
        <f>P2D!D166*1.1</f>
        <v>0</v>
      </c>
      <c r="E166" s="1534">
        <f>P2D!E166*1.1</f>
        <v>0</v>
      </c>
      <c r="F166" s="1534">
        <f>P2D!F166*1.1</f>
        <v>0</v>
      </c>
      <c r="G166" s="1534">
        <f>P2D!G166*1.1</f>
        <v>0</v>
      </c>
      <c r="H166" s="1535">
        <f>P2D!H166*1.1</f>
        <v>27.563173220000007</v>
      </c>
    </row>
    <row r="167" spans="1:8">
      <c r="A167" s="1419" t="s">
        <v>1106</v>
      </c>
      <c r="B167" s="1401" t="s">
        <v>1543</v>
      </c>
      <c r="C167" s="1534">
        <f>P2D!C167*1.1</f>
        <v>108.30293276000002</v>
      </c>
      <c r="D167" s="1534">
        <f>P2D!D167*1.1</f>
        <v>0</v>
      </c>
      <c r="E167" s="1534">
        <f>P2D!E167*1.1</f>
        <v>0</v>
      </c>
      <c r="F167" s="1534">
        <f>P2D!F167*1.1</f>
        <v>0</v>
      </c>
      <c r="G167" s="1534">
        <f>P2D!G167*1.1</f>
        <v>0</v>
      </c>
      <c r="H167" s="1535">
        <f>P2D!H167*1.1</f>
        <v>108.30293276000002</v>
      </c>
    </row>
    <row r="168" spans="1:8">
      <c r="A168" s="1419" t="s">
        <v>1106</v>
      </c>
      <c r="B168" s="1401" t="s">
        <v>1707</v>
      </c>
      <c r="C168" s="1534">
        <f>P2D!C168*1.1</f>
        <v>338.94253800000007</v>
      </c>
      <c r="D168" s="1534">
        <f>P2D!D168*1.1</f>
        <v>0</v>
      </c>
      <c r="E168" s="1534">
        <f>P2D!E168*1.1</f>
        <v>0</v>
      </c>
      <c r="F168" s="1534">
        <f>P2D!F168*1.1</f>
        <v>0</v>
      </c>
      <c r="G168" s="1534">
        <f>P2D!G168*1.1</f>
        <v>0</v>
      </c>
      <c r="H168" s="1535">
        <f>P2D!H168*1.1</f>
        <v>338.94253800000007</v>
      </c>
    </row>
    <row r="169" spans="1:8">
      <c r="A169" s="1419" t="s">
        <v>1106</v>
      </c>
      <c r="B169" s="1401" t="s">
        <v>1708</v>
      </c>
      <c r="C169" s="1534">
        <f>P2D!C169*1.1</f>
        <v>0</v>
      </c>
      <c r="D169" s="1534">
        <f>P2D!D169*1.1</f>
        <v>0</v>
      </c>
      <c r="E169" s="1534">
        <f>P2D!E169*1.1</f>
        <v>0</v>
      </c>
      <c r="F169" s="1534">
        <f>P2D!F169*1.1</f>
        <v>0</v>
      </c>
      <c r="G169" s="1534">
        <f>P2D!G169*1.1</f>
        <v>0</v>
      </c>
      <c r="H169" s="1535">
        <f>P2D!H169*1.1</f>
        <v>0</v>
      </c>
    </row>
    <row r="170" spans="1:8">
      <c r="A170" s="1419" t="s">
        <v>1106</v>
      </c>
      <c r="B170" s="1401" t="s">
        <v>1451</v>
      </c>
      <c r="C170" s="1534">
        <f>P2D!C170*1.1</f>
        <v>621.05781320000017</v>
      </c>
      <c r="D170" s="1534">
        <f>P2D!D170*1.1</f>
        <v>0</v>
      </c>
      <c r="E170" s="1534">
        <f>P2D!E170*1.1</f>
        <v>0</v>
      </c>
      <c r="F170" s="1534">
        <f>P2D!F170*1.1</f>
        <v>0</v>
      </c>
      <c r="G170" s="1534">
        <f>P2D!G170*1.1</f>
        <v>0</v>
      </c>
      <c r="H170" s="1535">
        <f>P2D!H170*1.1</f>
        <v>621.05781320000017</v>
      </c>
    </row>
    <row r="171" spans="1:8">
      <c r="A171" s="1419" t="s">
        <v>1106</v>
      </c>
      <c r="B171" s="1401" t="s">
        <v>1709</v>
      </c>
      <c r="C171" s="1534">
        <f>P2D!C171*1.1</f>
        <v>0</v>
      </c>
      <c r="D171" s="1534">
        <f>P2D!D171*1.1</f>
        <v>0</v>
      </c>
      <c r="E171" s="1534">
        <f>P2D!E171*1.1</f>
        <v>0</v>
      </c>
      <c r="F171" s="1534">
        <f>P2D!F171*1.1</f>
        <v>0</v>
      </c>
      <c r="G171" s="1534">
        <f>P2D!G171*1.1</f>
        <v>0</v>
      </c>
      <c r="H171" s="1535">
        <f>P2D!H171*1.1</f>
        <v>0</v>
      </c>
    </row>
    <row r="172" spans="1:8">
      <c r="A172" s="1419" t="s">
        <v>1106</v>
      </c>
      <c r="B172" s="1401" t="s">
        <v>1546</v>
      </c>
      <c r="C172" s="1534">
        <f>P2D!C172*1.1</f>
        <v>156.89973684000003</v>
      </c>
      <c r="D172" s="1534">
        <f>P2D!D172*1.1</f>
        <v>0</v>
      </c>
      <c r="E172" s="1534">
        <f>P2D!E172*1.1</f>
        <v>0</v>
      </c>
      <c r="F172" s="1534">
        <f>P2D!F172*1.1</f>
        <v>0</v>
      </c>
      <c r="G172" s="1534">
        <f>P2D!G172*1.1</f>
        <v>0</v>
      </c>
      <c r="H172" s="1535">
        <f>P2D!H172*1.1</f>
        <v>156.89973684000003</v>
      </c>
    </row>
    <row r="173" spans="1:8">
      <c r="A173" s="1419" t="s">
        <v>1106</v>
      </c>
      <c r="B173" s="1401" t="s">
        <v>1452</v>
      </c>
      <c r="C173" s="1534">
        <f>P2D!C173*1.1</f>
        <v>307.12877514000002</v>
      </c>
      <c r="D173" s="1534">
        <f>P2D!D173*1.1</f>
        <v>0</v>
      </c>
      <c r="E173" s="1534">
        <f>P2D!E173*1.1</f>
        <v>0</v>
      </c>
      <c r="F173" s="1534">
        <f>P2D!F173*1.1</f>
        <v>0</v>
      </c>
      <c r="G173" s="1534">
        <f>P2D!G173*1.1</f>
        <v>0</v>
      </c>
      <c r="H173" s="1535">
        <f>P2D!H173*1.1</f>
        <v>307.12877514000002</v>
      </c>
    </row>
    <row r="174" spans="1:8">
      <c r="A174" s="1419" t="s">
        <v>1106</v>
      </c>
      <c r="B174" s="1401" t="s">
        <v>1453</v>
      </c>
      <c r="C174" s="1534">
        <f>P2D!C174*1.1</f>
        <v>242.22574486000002</v>
      </c>
      <c r="D174" s="1534">
        <f>P2D!D174*1.1</f>
        <v>0</v>
      </c>
      <c r="E174" s="1534">
        <f>P2D!E174*1.1</f>
        <v>0</v>
      </c>
      <c r="F174" s="1534">
        <f>P2D!F174*1.1</f>
        <v>0</v>
      </c>
      <c r="G174" s="1534">
        <f>P2D!G174*1.1</f>
        <v>0</v>
      </c>
      <c r="H174" s="1535">
        <f>P2D!H174*1.1</f>
        <v>242.22574486000002</v>
      </c>
    </row>
    <row r="175" spans="1:8">
      <c r="A175" s="1419" t="s">
        <v>1106</v>
      </c>
      <c r="B175" s="1401" t="s">
        <v>1547</v>
      </c>
      <c r="C175" s="1534">
        <f>P2D!C175*1.1</f>
        <v>407.91771196000008</v>
      </c>
      <c r="D175" s="1534">
        <f>P2D!D175*1.1</f>
        <v>0</v>
      </c>
      <c r="E175" s="1534">
        <f>P2D!E175*1.1</f>
        <v>0</v>
      </c>
      <c r="F175" s="1534">
        <f>P2D!F175*1.1</f>
        <v>0</v>
      </c>
      <c r="G175" s="1534">
        <f>P2D!G175*1.1</f>
        <v>0</v>
      </c>
      <c r="H175" s="1535">
        <f>P2D!H175*1.1</f>
        <v>407.91771196000008</v>
      </c>
    </row>
    <row r="176" spans="1:8">
      <c r="A176" s="1419" t="s">
        <v>1106</v>
      </c>
      <c r="B176" s="1401" t="s">
        <v>1548</v>
      </c>
      <c r="C176" s="1534">
        <f>P2D!C176*1.1</f>
        <v>158.29453288000002</v>
      </c>
      <c r="D176" s="1534">
        <f>P2D!D176*1.1</f>
        <v>0</v>
      </c>
      <c r="E176" s="1534">
        <f>P2D!E176*1.1</f>
        <v>0</v>
      </c>
      <c r="F176" s="1534">
        <f>P2D!F176*1.1</f>
        <v>0</v>
      </c>
      <c r="G176" s="1534">
        <f>P2D!G176*1.1</f>
        <v>0</v>
      </c>
      <c r="H176" s="1535">
        <f>P2D!H176*1.1</f>
        <v>158.29453288000002</v>
      </c>
    </row>
    <row r="177" spans="1:8">
      <c r="A177" s="1419" t="s">
        <v>1106</v>
      </c>
      <c r="B177" s="1401" t="s">
        <v>1499</v>
      </c>
      <c r="C177" s="1534">
        <f>P2D!C177*1.1</f>
        <v>326.95811236000009</v>
      </c>
      <c r="D177" s="1534">
        <f>P2D!D177*1.1</f>
        <v>0</v>
      </c>
      <c r="E177" s="1534">
        <f>P2D!E177*1.1</f>
        <v>0</v>
      </c>
      <c r="F177" s="1534">
        <f>P2D!F177*1.1</f>
        <v>0</v>
      </c>
      <c r="G177" s="1534">
        <f>P2D!G177*1.1</f>
        <v>0</v>
      </c>
      <c r="H177" s="1535">
        <f>P2D!H177*1.1</f>
        <v>326.95811236000009</v>
      </c>
    </row>
    <row r="178" spans="1:8">
      <c r="A178" s="1419" t="s">
        <v>1106</v>
      </c>
      <c r="B178" s="1401" t="s">
        <v>1500</v>
      </c>
      <c r="C178" s="1534">
        <f>P2D!C178*1.1</f>
        <v>122.02502246000002</v>
      </c>
      <c r="D178" s="1534">
        <f>P2D!D178*1.1</f>
        <v>0</v>
      </c>
      <c r="E178" s="1534">
        <f>P2D!E178*1.1</f>
        <v>0</v>
      </c>
      <c r="F178" s="1534">
        <f>P2D!F178*1.1</f>
        <v>0</v>
      </c>
      <c r="G178" s="1534">
        <f>P2D!G178*1.1</f>
        <v>0</v>
      </c>
      <c r="H178" s="1535">
        <f>P2D!H178*1.1</f>
        <v>122.02502246000002</v>
      </c>
    </row>
    <row r="179" spans="1:8">
      <c r="A179" s="1419" t="s">
        <v>1106</v>
      </c>
      <c r="B179" s="1401" t="s">
        <v>1455</v>
      </c>
      <c r="C179" s="1534">
        <f>P2D!C179*1.1</f>
        <v>0</v>
      </c>
      <c r="D179" s="1534">
        <f>P2D!D179*1.1</f>
        <v>0</v>
      </c>
      <c r="E179" s="1534">
        <f>P2D!E179*1.1</f>
        <v>404.65217364000006</v>
      </c>
      <c r="F179" s="1534">
        <f>P2D!F179*1.1</f>
        <v>0</v>
      </c>
      <c r="G179" s="1534">
        <f>P2D!G179*1.1</f>
        <v>0</v>
      </c>
      <c r="H179" s="1535">
        <f>P2D!H179*1.1</f>
        <v>404.65217364000006</v>
      </c>
    </row>
    <row r="180" spans="1:8">
      <c r="A180" s="1419" t="s">
        <v>1106</v>
      </c>
      <c r="B180" s="1401" t="s">
        <v>1456</v>
      </c>
      <c r="C180" s="1534">
        <f>P2D!C180*1.1</f>
        <v>0</v>
      </c>
      <c r="D180" s="1534">
        <f>P2D!D180*1.1</f>
        <v>0</v>
      </c>
      <c r="E180" s="1534">
        <f>P2D!E180*1.1</f>
        <v>85.01022706000002</v>
      </c>
      <c r="F180" s="1534">
        <f>P2D!F180*1.1</f>
        <v>0</v>
      </c>
      <c r="G180" s="1534">
        <f>P2D!G180*1.1</f>
        <v>0</v>
      </c>
      <c r="H180" s="1535">
        <f>P2D!H180*1.1</f>
        <v>85.01022706000002</v>
      </c>
    </row>
    <row r="181" spans="1:8">
      <c r="A181" s="1419" t="s">
        <v>1106</v>
      </c>
      <c r="B181" s="1401" t="s">
        <v>1502</v>
      </c>
      <c r="C181" s="1534">
        <f>P2D!C181*1.1</f>
        <v>154.51735090000003</v>
      </c>
      <c r="D181" s="1534">
        <f>P2D!D181*1.1</f>
        <v>0</v>
      </c>
      <c r="E181" s="1534">
        <f>P2D!E181*1.1</f>
        <v>0</v>
      </c>
      <c r="F181" s="1534">
        <f>P2D!F181*1.1</f>
        <v>0</v>
      </c>
      <c r="G181" s="1534">
        <f>P2D!G181*1.1</f>
        <v>0</v>
      </c>
      <c r="H181" s="1535">
        <f>P2D!H181*1.1</f>
        <v>154.51735090000003</v>
      </c>
    </row>
    <row r="182" spans="1:8">
      <c r="A182" s="1419" t="s">
        <v>1106</v>
      </c>
      <c r="B182" s="1401" t="s">
        <v>1503</v>
      </c>
      <c r="C182" s="1534">
        <f>P2D!C182*1.1</f>
        <v>246.29309936000004</v>
      </c>
      <c r="D182" s="1534">
        <f>P2D!D182*1.1</f>
        <v>0</v>
      </c>
      <c r="E182" s="1534">
        <f>P2D!E182*1.1</f>
        <v>0</v>
      </c>
      <c r="F182" s="1534">
        <f>P2D!F182*1.1</f>
        <v>0</v>
      </c>
      <c r="G182" s="1534">
        <f>P2D!G182*1.1</f>
        <v>0</v>
      </c>
      <c r="H182" s="1535">
        <f>P2D!H182*1.1</f>
        <v>246.29309936000004</v>
      </c>
    </row>
    <row r="183" spans="1:8">
      <c r="A183" s="1419" t="s">
        <v>1106</v>
      </c>
      <c r="B183" s="1401" t="s">
        <v>1710</v>
      </c>
      <c r="C183" s="1534">
        <f>P2D!C183*1.1</f>
        <v>0</v>
      </c>
      <c r="D183" s="1534">
        <f>P2D!D183*1.1</f>
        <v>0</v>
      </c>
      <c r="E183" s="1534">
        <f>P2D!E183*1.1</f>
        <v>100.03090086</v>
      </c>
      <c r="F183" s="1534">
        <f>P2D!F183*1.1</f>
        <v>0</v>
      </c>
      <c r="G183" s="1534">
        <f>P2D!G183*1.1</f>
        <v>0</v>
      </c>
      <c r="H183" s="1535">
        <f>P2D!H183*1.1</f>
        <v>100.03090086</v>
      </c>
    </row>
    <row r="184" spans="1:8">
      <c r="A184" s="1419" t="s">
        <v>1106</v>
      </c>
      <c r="B184" s="1401" t="s">
        <v>1510</v>
      </c>
      <c r="C184" s="1534">
        <f>P2D!C184*1.1</f>
        <v>157.30020570000002</v>
      </c>
      <c r="D184" s="1534">
        <f>P2D!D184*1.1</f>
        <v>0</v>
      </c>
      <c r="E184" s="1534">
        <f>P2D!E184*1.1</f>
        <v>0</v>
      </c>
      <c r="F184" s="1534">
        <f>P2D!F184*1.1</f>
        <v>0</v>
      </c>
      <c r="G184" s="1534">
        <f>P2D!G184*1.1</f>
        <v>0</v>
      </c>
      <c r="H184" s="1535">
        <f>P2D!H184*1.1</f>
        <v>157.30020570000002</v>
      </c>
    </row>
    <row r="185" spans="1:8">
      <c r="A185" s="1419" t="s">
        <v>1106</v>
      </c>
      <c r="B185" s="1401" t="s">
        <v>1513</v>
      </c>
      <c r="C185" s="1534">
        <f>P2D!C185*1.1</f>
        <v>358.38234960000005</v>
      </c>
      <c r="D185" s="1534">
        <f>P2D!D185*1.1</f>
        <v>0</v>
      </c>
      <c r="E185" s="1534">
        <f>P2D!E185*1.1</f>
        <v>0</v>
      </c>
      <c r="F185" s="1534">
        <f>P2D!F185*1.1</f>
        <v>0</v>
      </c>
      <c r="G185" s="1534">
        <f>P2D!G185*1.1</f>
        <v>0</v>
      </c>
      <c r="H185" s="1535">
        <f>P2D!H185*1.1</f>
        <v>358.38234960000005</v>
      </c>
    </row>
    <row r="186" spans="1:8">
      <c r="A186" s="1419" t="s">
        <v>1106</v>
      </c>
      <c r="B186" s="1401" t="s">
        <v>1471</v>
      </c>
      <c r="C186" s="1534">
        <f>P2D!C186*1.1</f>
        <v>0</v>
      </c>
      <c r="D186" s="1534">
        <f>P2D!D186*1.1</f>
        <v>0</v>
      </c>
      <c r="E186" s="1534">
        <f>P2D!E186*1.1</f>
        <v>416.85714356000011</v>
      </c>
      <c r="F186" s="1534">
        <f>P2D!F186*1.1</f>
        <v>0</v>
      </c>
      <c r="G186" s="1534">
        <f>P2D!G186*1.1</f>
        <v>0</v>
      </c>
      <c r="H186" s="1535">
        <f>P2D!H186*1.1</f>
        <v>416.85714356000011</v>
      </c>
    </row>
    <row r="187" spans="1:8">
      <c r="A187" s="1419" t="s">
        <v>1106</v>
      </c>
      <c r="B187" s="1401" t="s">
        <v>1426</v>
      </c>
      <c r="C187" s="1534">
        <f>P2D!C187*1.1</f>
        <v>0</v>
      </c>
      <c r="D187" s="1534">
        <f>P2D!D187*1.1</f>
        <v>0</v>
      </c>
      <c r="E187" s="1534">
        <f>P2D!E187*1.1</f>
        <v>506.09454192000004</v>
      </c>
      <c r="F187" s="1534">
        <f>P2D!F187*1.1</f>
        <v>0</v>
      </c>
      <c r="G187" s="1534">
        <f>P2D!G187*1.1</f>
        <v>0</v>
      </c>
      <c r="H187" s="1535">
        <f>P2D!H187*1.1</f>
        <v>506.09454192000004</v>
      </c>
    </row>
    <row r="188" spans="1:8">
      <c r="A188" s="1419" t="s">
        <v>1106</v>
      </c>
      <c r="B188" s="1401" t="s">
        <v>2271</v>
      </c>
      <c r="C188" s="1534">
        <f>P2D!C188*1.1</f>
        <v>0</v>
      </c>
      <c r="D188" s="1534">
        <f>P2D!D188*1.1</f>
        <v>0</v>
      </c>
      <c r="E188" s="1534">
        <f>P2D!E188*1.1</f>
        <v>151.98234524000003</v>
      </c>
      <c r="F188" s="1534">
        <f>P2D!F188*1.1</f>
        <v>0</v>
      </c>
      <c r="G188" s="1534">
        <f>P2D!G188*1.1</f>
        <v>0</v>
      </c>
      <c r="H188" s="1535">
        <f>P2D!H188*1.1</f>
        <v>151.98234524000003</v>
      </c>
    </row>
    <row r="189" spans="1:8">
      <c r="A189" s="1419" t="s">
        <v>1106</v>
      </c>
      <c r="B189" s="1401" t="s">
        <v>1472</v>
      </c>
      <c r="C189" s="1534">
        <f>P2D!C189*1.1</f>
        <v>0</v>
      </c>
      <c r="D189" s="1534">
        <f>P2D!D189*1.1</f>
        <v>0</v>
      </c>
      <c r="E189" s="1534">
        <f>P2D!E189*1.1</f>
        <v>365.82160142000009</v>
      </c>
      <c r="F189" s="1534">
        <f>P2D!F189*1.1</f>
        <v>0</v>
      </c>
      <c r="G189" s="1534">
        <f>P2D!G189*1.1</f>
        <v>0</v>
      </c>
      <c r="H189" s="1535">
        <f>P2D!H189*1.1</f>
        <v>365.82160142000009</v>
      </c>
    </row>
    <row r="190" spans="1:8">
      <c r="A190" s="1419" t="s">
        <v>1106</v>
      </c>
      <c r="B190" s="1401" t="s">
        <v>1442</v>
      </c>
      <c r="C190" s="1534">
        <f>P2D!C190*1.1</f>
        <v>376.45025836000013</v>
      </c>
      <c r="D190" s="1534">
        <f>P2D!D190*1.1</f>
        <v>0</v>
      </c>
      <c r="E190" s="1534">
        <f>P2D!E190*1.1</f>
        <v>0</v>
      </c>
      <c r="F190" s="1534">
        <f>P2D!F190*1.1</f>
        <v>0</v>
      </c>
      <c r="G190" s="1534">
        <f>P2D!G190*1.1</f>
        <v>0</v>
      </c>
      <c r="H190" s="1535">
        <f>P2D!H190*1.1</f>
        <v>376.45025836000013</v>
      </c>
    </row>
    <row r="191" spans="1:8">
      <c r="A191" s="1419" t="s">
        <v>1106</v>
      </c>
      <c r="B191" s="1401" t="s">
        <v>1518</v>
      </c>
      <c r="C191" s="1534">
        <f>P2D!C191*1.1</f>
        <v>305.01742920000009</v>
      </c>
      <c r="D191" s="1534">
        <f>P2D!D191*1.1</f>
        <v>0</v>
      </c>
      <c r="E191" s="1534">
        <f>P2D!E191*1.1</f>
        <v>0</v>
      </c>
      <c r="F191" s="1534">
        <f>P2D!F191*1.1</f>
        <v>0</v>
      </c>
      <c r="G191" s="1534">
        <f>P2D!G191*1.1</f>
        <v>0</v>
      </c>
      <c r="H191" s="1535">
        <f>P2D!H191*1.1</f>
        <v>305.01742920000009</v>
      </c>
    </row>
    <row r="192" spans="1:8">
      <c r="A192" s="1419" t="s">
        <v>1106</v>
      </c>
      <c r="B192" s="1401" t="s">
        <v>1429</v>
      </c>
      <c r="C192" s="1534">
        <f>P2D!C192*1.1</f>
        <v>0</v>
      </c>
      <c r="D192" s="1534">
        <f>P2D!D192*1.1</f>
        <v>0</v>
      </c>
      <c r="E192" s="1534">
        <f>P2D!E192*1.1</f>
        <v>481.40310526000013</v>
      </c>
      <c r="F192" s="1534">
        <f>P2D!F192*1.1</f>
        <v>0</v>
      </c>
      <c r="G192" s="1534">
        <f>P2D!G192*1.1</f>
        <v>0</v>
      </c>
      <c r="H192" s="1535">
        <f>P2D!H192*1.1</f>
        <v>481.40310526000013</v>
      </c>
    </row>
    <row r="193" spans="1:8">
      <c r="A193" s="1419" t="s">
        <v>1106</v>
      </c>
      <c r="B193" s="1401" t="s">
        <v>1481</v>
      </c>
      <c r="C193" s="1534">
        <f>P2D!C193*1.1</f>
        <v>0</v>
      </c>
      <c r="D193" s="1534">
        <f>P2D!D193*1.1</f>
        <v>0</v>
      </c>
      <c r="E193" s="1534">
        <f>P2D!E193*1.1</f>
        <v>288.52690306000005</v>
      </c>
      <c r="F193" s="1534">
        <f>P2D!F193*1.1</f>
        <v>0</v>
      </c>
      <c r="G193" s="1534">
        <f>P2D!G193*1.1</f>
        <v>0</v>
      </c>
      <c r="H193" s="1535">
        <f>P2D!H193*1.1</f>
        <v>288.52690306000005</v>
      </c>
    </row>
    <row r="194" spans="1:8">
      <c r="A194" s="1419" t="s">
        <v>1106</v>
      </c>
      <c r="B194" s="1401" t="s">
        <v>1531</v>
      </c>
      <c r="C194" s="1534">
        <f>P2D!C194*1.1</f>
        <v>644.34663480000006</v>
      </c>
      <c r="D194" s="1534">
        <f>P2D!D194*1.1</f>
        <v>0</v>
      </c>
      <c r="E194" s="1534">
        <f>P2D!E194*1.1</f>
        <v>0</v>
      </c>
      <c r="F194" s="1534">
        <f>P2D!F194*1.1</f>
        <v>0</v>
      </c>
      <c r="G194" s="1534">
        <f>P2D!G194*1.1</f>
        <v>0</v>
      </c>
      <c r="H194" s="1535">
        <f>P2D!H194*1.1</f>
        <v>644.34663480000006</v>
      </c>
    </row>
    <row r="195" spans="1:8">
      <c r="A195" s="1419" t="s">
        <v>1106</v>
      </c>
      <c r="B195" s="1401" t="s">
        <v>1484</v>
      </c>
      <c r="C195" s="1534">
        <f>P2D!C195*1.1</f>
        <v>0</v>
      </c>
      <c r="D195" s="1534">
        <f>P2D!D195*1.1</f>
        <v>0</v>
      </c>
      <c r="E195" s="1534">
        <f>P2D!E195*1.1</f>
        <v>528.34258202000012</v>
      </c>
      <c r="F195" s="1534">
        <f>P2D!F195*1.1</f>
        <v>0</v>
      </c>
      <c r="G195" s="1534">
        <f>P2D!G195*1.1</f>
        <v>0</v>
      </c>
      <c r="H195" s="1535">
        <f>P2D!H195*1.1</f>
        <v>528.34258202000012</v>
      </c>
    </row>
    <row r="196" spans="1:8">
      <c r="A196" s="1419" t="s">
        <v>1106</v>
      </c>
      <c r="B196" s="1401" t="s">
        <v>1487</v>
      </c>
      <c r="C196" s="1534">
        <f>P2D!C196*1.1</f>
        <v>0</v>
      </c>
      <c r="D196" s="1534">
        <f>P2D!D196*1.1</f>
        <v>0</v>
      </c>
      <c r="E196" s="1534">
        <f>P2D!E196*1.1</f>
        <v>373.99302182000008</v>
      </c>
      <c r="F196" s="1534">
        <f>P2D!F196*1.1</f>
        <v>0</v>
      </c>
      <c r="G196" s="1534">
        <f>P2D!G196*1.1</f>
        <v>0</v>
      </c>
      <c r="H196" s="1535">
        <f>P2D!H196*1.1</f>
        <v>373.99302182000008</v>
      </c>
    </row>
    <row r="197" spans="1:8">
      <c r="A197" s="1419" t="s">
        <v>1106</v>
      </c>
      <c r="B197" s="1401" t="s">
        <v>1488</v>
      </c>
      <c r="C197" s="1534">
        <f>P2D!C197*1.1</f>
        <v>0</v>
      </c>
      <c r="D197" s="1534">
        <f>P2D!D197*1.1</f>
        <v>0</v>
      </c>
      <c r="E197" s="1534">
        <f>P2D!E197*1.1</f>
        <v>137.88733596</v>
      </c>
      <c r="F197" s="1534">
        <f>P2D!F197*1.1</f>
        <v>0</v>
      </c>
      <c r="G197" s="1534">
        <f>P2D!G197*1.1</f>
        <v>0</v>
      </c>
      <c r="H197" s="1535">
        <f>P2D!H197*1.1</f>
        <v>137.88733596</v>
      </c>
    </row>
    <row r="198" spans="1:8">
      <c r="A198" s="1419" t="s">
        <v>1106</v>
      </c>
      <c r="B198" s="1401" t="s">
        <v>1711</v>
      </c>
      <c r="C198" s="1534">
        <f>P2D!C198*1.1</f>
        <v>123.70938602000001</v>
      </c>
      <c r="D198" s="1534">
        <f>P2D!D198*1.1</f>
        <v>0</v>
      </c>
      <c r="E198" s="1534">
        <f>P2D!E198*1.1</f>
        <v>0</v>
      </c>
      <c r="F198" s="1534">
        <f>P2D!F198*1.1</f>
        <v>0</v>
      </c>
      <c r="G198" s="1534">
        <f>P2D!G198*1.1</f>
        <v>0</v>
      </c>
      <c r="H198" s="1535">
        <f>P2D!H198*1.1</f>
        <v>123.70938602000001</v>
      </c>
    </row>
    <row r="199" spans="1:8">
      <c r="A199" s="1419" t="s">
        <v>1106</v>
      </c>
      <c r="B199" s="1401" t="s">
        <v>1712</v>
      </c>
      <c r="C199" s="1534">
        <f>P2D!C199*1.1</f>
        <v>0</v>
      </c>
      <c r="D199" s="1534">
        <f>P2D!D199*1.1</f>
        <v>0</v>
      </c>
      <c r="E199" s="1534">
        <f>P2D!E199*1.1</f>
        <v>93.306730000000016</v>
      </c>
      <c r="F199" s="1534">
        <f>P2D!F199*1.1</f>
        <v>0</v>
      </c>
      <c r="G199" s="1534">
        <f>P2D!G199*1.1</f>
        <v>0</v>
      </c>
      <c r="H199" s="1535">
        <f>P2D!H199*1.1</f>
        <v>93.306730000000016</v>
      </c>
    </row>
    <row r="200" spans="1:8">
      <c r="A200" s="1419" t="s">
        <v>1106</v>
      </c>
      <c r="B200" s="1401" t="s">
        <v>1713</v>
      </c>
      <c r="C200" s="1534">
        <f>P2D!C200*1.1</f>
        <v>0</v>
      </c>
      <c r="D200" s="1534">
        <f>P2D!D200*1.1</f>
        <v>0</v>
      </c>
      <c r="E200" s="1534">
        <f>P2D!E200*1.1</f>
        <v>124.44186920000003</v>
      </c>
      <c r="F200" s="1534">
        <f>P2D!F200*1.1</f>
        <v>0</v>
      </c>
      <c r="G200" s="1534">
        <f>P2D!G200*1.1</f>
        <v>0</v>
      </c>
      <c r="H200" s="1535">
        <f>P2D!H200*1.1</f>
        <v>124.44186920000003</v>
      </c>
    </row>
    <row r="201" spans="1:8">
      <c r="A201" s="1419" t="s">
        <v>1106</v>
      </c>
      <c r="B201" s="1401" t="s">
        <v>1545</v>
      </c>
      <c r="C201" s="1534">
        <f>P2D!C201*1.1</f>
        <v>140.18824050000003</v>
      </c>
      <c r="D201" s="1534">
        <f>P2D!D201*1.1</f>
        <v>0</v>
      </c>
      <c r="E201" s="1534">
        <f>P2D!E201*1.1</f>
        <v>0</v>
      </c>
      <c r="F201" s="1534">
        <f>P2D!F201*1.1</f>
        <v>0</v>
      </c>
      <c r="G201" s="1534">
        <f>P2D!G201*1.1</f>
        <v>0</v>
      </c>
      <c r="H201" s="1535">
        <f>P2D!H201*1.1</f>
        <v>140.18824050000003</v>
      </c>
    </row>
    <row r="202" spans="1:8">
      <c r="A202" s="1419" t="s">
        <v>1106</v>
      </c>
      <c r="B202" s="1401" t="s">
        <v>1501</v>
      </c>
      <c r="C202" s="1534">
        <f>P2D!C202*1.1</f>
        <v>81.426669280000013</v>
      </c>
      <c r="D202" s="1534">
        <f>P2D!D202*1.1</f>
        <v>0</v>
      </c>
      <c r="E202" s="1534">
        <f>P2D!E202*1.1</f>
        <v>0</v>
      </c>
      <c r="F202" s="1534">
        <f>P2D!F202*1.1</f>
        <v>0</v>
      </c>
      <c r="G202" s="1534">
        <f>P2D!G202*1.1</f>
        <v>0</v>
      </c>
      <c r="H202" s="1535">
        <f>P2D!H202*1.1</f>
        <v>81.426669280000013</v>
      </c>
    </row>
    <row r="203" spans="1:8">
      <c r="A203" s="1419" t="s">
        <v>1106</v>
      </c>
      <c r="B203" s="1401" t="s">
        <v>1443</v>
      </c>
      <c r="C203" s="1534">
        <f>P2D!C203*1.1</f>
        <v>312.49853008000002</v>
      </c>
      <c r="D203" s="1534">
        <f>P2D!D203*1.1</f>
        <v>0</v>
      </c>
      <c r="E203" s="1534">
        <f>P2D!E203*1.1</f>
        <v>0</v>
      </c>
      <c r="F203" s="1534">
        <f>P2D!F203*1.1</f>
        <v>0</v>
      </c>
      <c r="G203" s="1534">
        <f>P2D!G203*1.1</f>
        <v>0</v>
      </c>
      <c r="H203" s="1535">
        <f>P2D!H203*1.1</f>
        <v>312.49853008000002</v>
      </c>
    </row>
    <row r="204" spans="1:8">
      <c r="A204" s="1419" t="s">
        <v>1106</v>
      </c>
      <c r="B204" s="1401" t="s">
        <v>1523</v>
      </c>
      <c r="C204" s="1534">
        <f>P2D!C204*1.1</f>
        <v>226.41254284000004</v>
      </c>
      <c r="D204" s="1534">
        <f>P2D!D204*1.1</f>
        <v>0</v>
      </c>
      <c r="E204" s="1534">
        <f>P2D!E204*1.1</f>
        <v>0</v>
      </c>
      <c r="F204" s="1534">
        <f>P2D!F204*1.1</f>
        <v>0</v>
      </c>
      <c r="G204" s="1534">
        <f>P2D!G204*1.1</f>
        <v>0</v>
      </c>
      <c r="H204" s="1535">
        <f>P2D!H204*1.1</f>
        <v>226.41254284000004</v>
      </c>
    </row>
    <row r="205" spans="1:8">
      <c r="A205" s="1419" t="s">
        <v>1106</v>
      </c>
      <c r="B205" s="1401" t="s">
        <v>1540</v>
      </c>
      <c r="C205" s="1534">
        <f>P2D!C205*1.1</f>
        <v>89.441714120000029</v>
      </c>
      <c r="D205" s="1534">
        <f>P2D!D205*1.1</f>
        <v>0</v>
      </c>
      <c r="E205" s="1534">
        <f>P2D!E205*1.1</f>
        <v>0</v>
      </c>
      <c r="F205" s="1534">
        <f>P2D!F205*1.1</f>
        <v>0</v>
      </c>
      <c r="G205" s="1534">
        <f>P2D!G205*1.1</f>
        <v>0</v>
      </c>
      <c r="H205" s="1535">
        <f>P2D!H205*1.1</f>
        <v>89.441714120000029</v>
      </c>
    </row>
    <row r="206" spans="1:8">
      <c r="A206" s="1419" t="s">
        <v>1106</v>
      </c>
      <c r="B206" s="1401" t="s">
        <v>1714</v>
      </c>
      <c r="C206" s="1534">
        <f>P2D!C206*1.1</f>
        <v>215.04723064000004</v>
      </c>
      <c r="D206" s="1534">
        <f>P2D!D206*1.1</f>
        <v>0</v>
      </c>
      <c r="E206" s="1534">
        <f>P2D!E206*1.1</f>
        <v>0</v>
      </c>
      <c r="F206" s="1534">
        <f>P2D!F206*1.1</f>
        <v>0</v>
      </c>
      <c r="G206" s="1534">
        <f>P2D!G206*1.1</f>
        <v>0</v>
      </c>
      <c r="H206" s="1535">
        <f>P2D!H206*1.1</f>
        <v>215.04723064000004</v>
      </c>
    </row>
    <row r="207" spans="1:8">
      <c r="A207" s="1419" t="s">
        <v>1106</v>
      </c>
      <c r="B207" s="1401" t="s">
        <v>1544</v>
      </c>
      <c r="C207" s="1534">
        <f>P2D!C207*1.1</f>
        <v>521.8486911</v>
      </c>
      <c r="D207" s="1534">
        <f>P2D!D207*1.1</f>
        <v>0</v>
      </c>
      <c r="E207" s="1534">
        <f>P2D!E207*1.1</f>
        <v>0</v>
      </c>
      <c r="F207" s="1534">
        <f>P2D!F207*1.1</f>
        <v>0</v>
      </c>
      <c r="G207" s="1534">
        <f>P2D!G207*1.1</f>
        <v>0</v>
      </c>
      <c r="H207" s="1535">
        <f>P2D!H207*1.1</f>
        <v>521.8486911</v>
      </c>
    </row>
    <row r="208" spans="1:8" ht="15.75" thickBot="1">
      <c r="A208" s="1419" t="s">
        <v>1106</v>
      </c>
      <c r="B208" s="1401" t="s">
        <v>1718</v>
      </c>
      <c r="C208" s="1534">
        <f>P2D!C208*1.1</f>
        <v>110.95844958000002</v>
      </c>
      <c r="D208" s="1534">
        <f>P2D!D208*1.1</f>
        <v>0</v>
      </c>
      <c r="E208" s="1534">
        <f>P2D!E208*1.1</f>
        <v>0</v>
      </c>
      <c r="F208" s="1534">
        <f>P2D!F208*1.1</f>
        <v>0</v>
      </c>
      <c r="G208" s="1534">
        <f>P2D!G208*1.1</f>
        <v>0</v>
      </c>
      <c r="H208" s="1535">
        <f>P2D!H208*1.1</f>
        <v>110.95844958000002</v>
      </c>
    </row>
    <row r="209" spans="1:8" ht="15.75" thickBot="1">
      <c r="A209" s="1421" t="s">
        <v>1549</v>
      </c>
      <c r="B209" s="1422" t="s">
        <v>1550</v>
      </c>
      <c r="C209" s="1534">
        <f>P2B!C209*2*1.1</f>
        <v>19762.313879000001</v>
      </c>
      <c r="D209" s="1534">
        <f>P2B!D209*2*1.1</f>
        <v>104.46571520000002</v>
      </c>
      <c r="E209" s="1534">
        <f>P2B!E209*2*1.1</f>
        <v>22391.860893600002</v>
      </c>
      <c r="F209" s="1534">
        <f>P2B!F209*2*1.1</f>
        <v>56.017090800000005</v>
      </c>
      <c r="G209" s="1534">
        <f>P2D!G209*1.1</f>
        <v>1137.3146587000003</v>
      </c>
      <c r="H209" s="1535">
        <f>P2D!H209*1.1</f>
        <v>47683.437995160006</v>
      </c>
    </row>
    <row r="210" spans="1:8" ht="15.75" thickBot="1">
      <c r="A210" s="2361" t="s">
        <v>1715</v>
      </c>
      <c r="B210" s="2362"/>
      <c r="C210" s="2378"/>
      <c r="D210" s="2378"/>
      <c r="E210" s="2378"/>
      <c r="F210" s="2378"/>
      <c r="G210" s="2379"/>
      <c r="H210" s="1556">
        <f>P2B!H210*2*1.1</f>
        <v>2.9601132000000003</v>
      </c>
    </row>
    <row r="211" spans="1:8" ht="15.75" thickBot="1">
      <c r="A211" s="1423" t="s">
        <v>1025</v>
      </c>
      <c r="B211" s="1412"/>
      <c r="C211" s="1412"/>
      <c r="D211" s="1412"/>
      <c r="E211" s="1412"/>
      <c r="F211" s="1412"/>
      <c r="G211" s="1412"/>
      <c r="H211" s="1541">
        <f>P2B!H211*2*1.1</f>
        <v>43351.5401088</v>
      </c>
    </row>
  </sheetData>
  <mergeCells count="12">
    <mergeCell ref="E6:F6"/>
    <mergeCell ref="A210:G210"/>
    <mergeCell ref="A1:H1"/>
    <mergeCell ref="A2:H2"/>
    <mergeCell ref="A3:H3"/>
    <mergeCell ref="A4:H4"/>
    <mergeCell ref="A5:A7"/>
    <mergeCell ref="B5:B7"/>
    <mergeCell ref="C5:F5"/>
    <mergeCell ref="G5:G7"/>
    <mergeCell ref="H5:H7"/>
    <mergeCell ref="C6:D6"/>
  </mergeCells>
  <conditionalFormatting sqref="I1:I1048576">
    <cfRule type="duplicateValues" dxfId="1" priority="1"/>
  </conditionalFormatting>
  <pageMargins left="0.7" right="0.7" top="0.75" bottom="0.75" header="0.3" footer="0.3"/>
  <pageSetup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H31"/>
  <sheetViews>
    <sheetView showGridLines="0" view="pageBreakPreview" zoomScale="70" zoomScaleNormal="100" zoomScaleSheetLayoutView="70" workbookViewId="0">
      <selection activeCell="F5" sqref="F5"/>
    </sheetView>
  </sheetViews>
  <sheetFormatPr defaultRowHeight="16.5"/>
  <cols>
    <col min="1" max="1" width="4.28515625" style="115" customWidth="1"/>
    <col min="2" max="2" width="3.7109375" style="103" customWidth="1"/>
    <col min="3" max="3" width="53.85546875" style="114" bestFit="1" customWidth="1"/>
    <col min="4" max="8" width="17.140625" style="103" customWidth="1"/>
    <col min="9" max="255" width="9.140625" style="103"/>
    <col min="256" max="256" width="4.28515625" style="103" customWidth="1"/>
    <col min="257" max="257" width="2.28515625" style="103" bestFit="1" customWidth="1"/>
    <col min="258" max="258" width="50.140625" style="103" customWidth="1"/>
    <col min="259" max="259" width="9.85546875" style="103" customWidth="1"/>
    <col min="260" max="260" width="11.85546875" style="103" customWidth="1"/>
    <col min="261" max="261" width="13" style="103" customWidth="1"/>
    <col min="262" max="511" width="9.140625" style="103"/>
    <col min="512" max="512" width="4.28515625" style="103" customWidth="1"/>
    <col min="513" max="513" width="2.28515625" style="103" bestFit="1" customWidth="1"/>
    <col min="514" max="514" width="50.140625" style="103" customWidth="1"/>
    <col min="515" max="515" width="9.85546875" style="103" customWidth="1"/>
    <col min="516" max="516" width="11.85546875" style="103" customWidth="1"/>
    <col min="517" max="517" width="13" style="103" customWidth="1"/>
    <col min="518" max="767" width="9.140625" style="103"/>
    <col min="768" max="768" width="4.28515625" style="103" customWidth="1"/>
    <col min="769" max="769" width="2.28515625" style="103" bestFit="1" customWidth="1"/>
    <col min="770" max="770" width="50.140625" style="103" customWidth="1"/>
    <col min="771" max="771" width="9.85546875" style="103" customWidth="1"/>
    <col min="772" max="772" width="11.85546875" style="103" customWidth="1"/>
    <col min="773" max="773" width="13" style="103" customWidth="1"/>
    <col min="774" max="1023" width="9.140625" style="103"/>
    <col min="1024" max="1024" width="4.28515625" style="103" customWidth="1"/>
    <col min="1025" max="1025" width="2.28515625" style="103" bestFit="1" customWidth="1"/>
    <col min="1026" max="1026" width="50.140625" style="103" customWidth="1"/>
    <col min="1027" max="1027" width="9.85546875" style="103" customWidth="1"/>
    <col min="1028" max="1028" width="11.85546875" style="103" customWidth="1"/>
    <col min="1029" max="1029" width="13" style="103" customWidth="1"/>
    <col min="1030" max="1279" width="9.140625" style="103"/>
    <col min="1280" max="1280" width="4.28515625" style="103" customWidth="1"/>
    <col min="1281" max="1281" width="2.28515625" style="103" bestFit="1" customWidth="1"/>
    <col min="1282" max="1282" width="50.140625" style="103" customWidth="1"/>
    <col min="1283" max="1283" width="9.85546875" style="103" customWidth="1"/>
    <col min="1284" max="1284" width="11.85546875" style="103" customWidth="1"/>
    <col min="1285" max="1285" width="13" style="103" customWidth="1"/>
    <col min="1286" max="1535" width="9.140625" style="103"/>
    <col min="1536" max="1536" width="4.28515625" style="103" customWidth="1"/>
    <col min="1537" max="1537" width="2.28515625" style="103" bestFit="1" customWidth="1"/>
    <col min="1538" max="1538" width="50.140625" style="103" customWidth="1"/>
    <col min="1539" max="1539" width="9.85546875" style="103" customWidth="1"/>
    <col min="1540" max="1540" width="11.85546875" style="103" customWidth="1"/>
    <col min="1541" max="1541" width="13" style="103" customWidth="1"/>
    <col min="1542" max="1791" width="9.140625" style="103"/>
    <col min="1792" max="1792" width="4.28515625" style="103" customWidth="1"/>
    <col min="1793" max="1793" width="2.28515625" style="103" bestFit="1" customWidth="1"/>
    <col min="1794" max="1794" width="50.140625" style="103" customWidth="1"/>
    <col min="1795" max="1795" width="9.85546875" style="103" customWidth="1"/>
    <col min="1796" max="1796" width="11.85546875" style="103" customWidth="1"/>
    <col min="1797" max="1797" width="13" style="103" customWidth="1"/>
    <col min="1798" max="2047" width="9.140625" style="103"/>
    <col min="2048" max="2048" width="4.28515625" style="103" customWidth="1"/>
    <col min="2049" max="2049" width="2.28515625" style="103" bestFit="1" customWidth="1"/>
    <col min="2050" max="2050" width="50.140625" style="103" customWidth="1"/>
    <col min="2051" max="2051" width="9.85546875" style="103" customWidth="1"/>
    <col min="2052" max="2052" width="11.85546875" style="103" customWidth="1"/>
    <col min="2053" max="2053" width="13" style="103" customWidth="1"/>
    <col min="2054" max="2303" width="9.140625" style="103"/>
    <col min="2304" max="2304" width="4.28515625" style="103" customWidth="1"/>
    <col min="2305" max="2305" width="2.28515625" style="103" bestFit="1" customWidth="1"/>
    <col min="2306" max="2306" width="50.140625" style="103" customWidth="1"/>
    <col min="2307" max="2307" width="9.85546875" style="103" customWidth="1"/>
    <col min="2308" max="2308" width="11.85546875" style="103" customWidth="1"/>
    <col min="2309" max="2309" width="13" style="103" customWidth="1"/>
    <col min="2310" max="2559" width="9.140625" style="103"/>
    <col min="2560" max="2560" width="4.28515625" style="103" customWidth="1"/>
    <col min="2561" max="2561" width="2.28515625" style="103" bestFit="1" customWidth="1"/>
    <col min="2562" max="2562" width="50.140625" style="103" customWidth="1"/>
    <col min="2563" max="2563" width="9.85546875" style="103" customWidth="1"/>
    <col min="2564" max="2564" width="11.85546875" style="103" customWidth="1"/>
    <col min="2565" max="2565" width="13" style="103" customWidth="1"/>
    <col min="2566" max="2815" width="9.140625" style="103"/>
    <col min="2816" max="2816" width="4.28515625" style="103" customWidth="1"/>
    <col min="2817" max="2817" width="2.28515625" style="103" bestFit="1" customWidth="1"/>
    <col min="2818" max="2818" width="50.140625" style="103" customWidth="1"/>
    <col min="2819" max="2819" width="9.85546875" style="103" customWidth="1"/>
    <col min="2820" max="2820" width="11.85546875" style="103" customWidth="1"/>
    <col min="2821" max="2821" width="13" style="103" customWidth="1"/>
    <col min="2822" max="3071" width="9.140625" style="103"/>
    <col min="3072" max="3072" width="4.28515625" style="103" customWidth="1"/>
    <col min="3073" max="3073" width="2.28515625" style="103" bestFit="1" customWidth="1"/>
    <col min="3074" max="3074" width="50.140625" style="103" customWidth="1"/>
    <col min="3075" max="3075" width="9.85546875" style="103" customWidth="1"/>
    <col min="3076" max="3076" width="11.85546875" style="103" customWidth="1"/>
    <col min="3077" max="3077" width="13" style="103" customWidth="1"/>
    <col min="3078" max="3327" width="9.140625" style="103"/>
    <col min="3328" max="3328" width="4.28515625" style="103" customWidth="1"/>
    <col min="3329" max="3329" width="2.28515625" style="103" bestFit="1" customWidth="1"/>
    <col min="3330" max="3330" width="50.140625" style="103" customWidth="1"/>
    <col min="3331" max="3331" width="9.85546875" style="103" customWidth="1"/>
    <col min="3332" max="3332" width="11.85546875" style="103" customWidth="1"/>
    <col min="3333" max="3333" width="13" style="103" customWidth="1"/>
    <col min="3334" max="3583" width="9.140625" style="103"/>
    <col min="3584" max="3584" width="4.28515625" style="103" customWidth="1"/>
    <col min="3585" max="3585" width="2.28515625" style="103" bestFit="1" customWidth="1"/>
    <col min="3586" max="3586" width="50.140625" style="103" customWidth="1"/>
    <col min="3587" max="3587" width="9.85546875" style="103" customWidth="1"/>
    <col min="3588" max="3588" width="11.85546875" style="103" customWidth="1"/>
    <col min="3589" max="3589" width="13" style="103" customWidth="1"/>
    <col min="3590" max="3839" width="9.140625" style="103"/>
    <col min="3840" max="3840" width="4.28515625" style="103" customWidth="1"/>
    <col min="3841" max="3841" width="2.28515625" style="103" bestFit="1" customWidth="1"/>
    <col min="3842" max="3842" width="50.140625" style="103" customWidth="1"/>
    <col min="3843" max="3843" width="9.85546875" style="103" customWidth="1"/>
    <col min="3844" max="3844" width="11.85546875" style="103" customWidth="1"/>
    <col min="3845" max="3845" width="13" style="103" customWidth="1"/>
    <col min="3846" max="4095" width="9.140625" style="103"/>
    <col min="4096" max="4096" width="4.28515625" style="103" customWidth="1"/>
    <col min="4097" max="4097" width="2.28515625" style="103" bestFit="1" customWidth="1"/>
    <col min="4098" max="4098" width="50.140625" style="103" customWidth="1"/>
    <col min="4099" max="4099" width="9.85546875" style="103" customWidth="1"/>
    <col min="4100" max="4100" width="11.85546875" style="103" customWidth="1"/>
    <col min="4101" max="4101" width="13" style="103" customWidth="1"/>
    <col min="4102" max="4351" width="9.140625" style="103"/>
    <col min="4352" max="4352" width="4.28515625" style="103" customWidth="1"/>
    <col min="4353" max="4353" width="2.28515625" style="103" bestFit="1" customWidth="1"/>
    <col min="4354" max="4354" width="50.140625" style="103" customWidth="1"/>
    <col min="4355" max="4355" width="9.85546875" style="103" customWidth="1"/>
    <col min="4356" max="4356" width="11.85546875" style="103" customWidth="1"/>
    <col min="4357" max="4357" width="13" style="103" customWidth="1"/>
    <col min="4358" max="4607" width="9.140625" style="103"/>
    <col min="4608" max="4608" width="4.28515625" style="103" customWidth="1"/>
    <col min="4609" max="4609" width="2.28515625" style="103" bestFit="1" customWidth="1"/>
    <col min="4610" max="4610" width="50.140625" style="103" customWidth="1"/>
    <col min="4611" max="4611" width="9.85546875" style="103" customWidth="1"/>
    <col min="4612" max="4612" width="11.85546875" style="103" customWidth="1"/>
    <col min="4613" max="4613" width="13" style="103" customWidth="1"/>
    <col min="4614" max="4863" width="9.140625" style="103"/>
    <col min="4864" max="4864" width="4.28515625" style="103" customWidth="1"/>
    <col min="4865" max="4865" width="2.28515625" style="103" bestFit="1" customWidth="1"/>
    <col min="4866" max="4866" width="50.140625" style="103" customWidth="1"/>
    <col min="4867" max="4867" width="9.85546875" style="103" customWidth="1"/>
    <col min="4868" max="4868" width="11.85546875" style="103" customWidth="1"/>
    <col min="4869" max="4869" width="13" style="103" customWidth="1"/>
    <col min="4870" max="5119" width="9.140625" style="103"/>
    <col min="5120" max="5120" width="4.28515625" style="103" customWidth="1"/>
    <col min="5121" max="5121" width="2.28515625" style="103" bestFit="1" customWidth="1"/>
    <col min="5122" max="5122" width="50.140625" style="103" customWidth="1"/>
    <col min="5123" max="5123" width="9.85546875" style="103" customWidth="1"/>
    <col min="5124" max="5124" width="11.85546875" style="103" customWidth="1"/>
    <col min="5125" max="5125" width="13" style="103" customWidth="1"/>
    <col min="5126" max="5375" width="9.140625" style="103"/>
    <col min="5376" max="5376" width="4.28515625" style="103" customWidth="1"/>
    <col min="5377" max="5377" width="2.28515625" style="103" bestFit="1" customWidth="1"/>
    <col min="5378" max="5378" width="50.140625" style="103" customWidth="1"/>
    <col min="5379" max="5379" width="9.85546875" style="103" customWidth="1"/>
    <col min="5380" max="5380" width="11.85546875" style="103" customWidth="1"/>
    <col min="5381" max="5381" width="13" style="103" customWidth="1"/>
    <col min="5382" max="5631" width="9.140625" style="103"/>
    <col min="5632" max="5632" width="4.28515625" style="103" customWidth="1"/>
    <col min="5633" max="5633" width="2.28515625" style="103" bestFit="1" customWidth="1"/>
    <col min="5634" max="5634" width="50.140625" style="103" customWidth="1"/>
    <col min="5635" max="5635" width="9.85546875" style="103" customWidth="1"/>
    <col min="5636" max="5636" width="11.85546875" style="103" customWidth="1"/>
    <col min="5637" max="5637" width="13" style="103" customWidth="1"/>
    <col min="5638" max="5887" width="9.140625" style="103"/>
    <col min="5888" max="5888" width="4.28515625" style="103" customWidth="1"/>
    <col min="5889" max="5889" width="2.28515625" style="103" bestFit="1" customWidth="1"/>
    <col min="5890" max="5890" width="50.140625" style="103" customWidth="1"/>
    <col min="5891" max="5891" width="9.85546875" style="103" customWidth="1"/>
    <col min="5892" max="5892" width="11.85546875" style="103" customWidth="1"/>
    <col min="5893" max="5893" width="13" style="103" customWidth="1"/>
    <col min="5894" max="6143" width="9.140625" style="103"/>
    <col min="6144" max="6144" width="4.28515625" style="103" customWidth="1"/>
    <col min="6145" max="6145" width="2.28515625" style="103" bestFit="1" customWidth="1"/>
    <col min="6146" max="6146" width="50.140625" style="103" customWidth="1"/>
    <col min="6147" max="6147" width="9.85546875" style="103" customWidth="1"/>
    <col min="6148" max="6148" width="11.85546875" style="103" customWidth="1"/>
    <col min="6149" max="6149" width="13" style="103" customWidth="1"/>
    <col min="6150" max="6399" width="9.140625" style="103"/>
    <col min="6400" max="6400" width="4.28515625" style="103" customWidth="1"/>
    <col min="6401" max="6401" width="2.28515625" style="103" bestFit="1" customWidth="1"/>
    <col min="6402" max="6402" width="50.140625" style="103" customWidth="1"/>
    <col min="6403" max="6403" width="9.85546875" style="103" customWidth="1"/>
    <col min="6404" max="6404" width="11.85546875" style="103" customWidth="1"/>
    <col min="6405" max="6405" width="13" style="103" customWidth="1"/>
    <col min="6406" max="6655" width="9.140625" style="103"/>
    <col min="6656" max="6656" width="4.28515625" style="103" customWidth="1"/>
    <col min="6657" max="6657" width="2.28515625" style="103" bestFit="1" customWidth="1"/>
    <col min="6658" max="6658" width="50.140625" style="103" customWidth="1"/>
    <col min="6659" max="6659" width="9.85546875" style="103" customWidth="1"/>
    <col min="6660" max="6660" width="11.85546875" style="103" customWidth="1"/>
    <col min="6661" max="6661" width="13" style="103" customWidth="1"/>
    <col min="6662" max="6911" width="9.140625" style="103"/>
    <col min="6912" max="6912" width="4.28515625" style="103" customWidth="1"/>
    <col min="6913" max="6913" width="2.28515625" style="103" bestFit="1" customWidth="1"/>
    <col min="6914" max="6914" width="50.140625" style="103" customWidth="1"/>
    <col min="6915" max="6915" width="9.85546875" style="103" customWidth="1"/>
    <col min="6916" max="6916" width="11.85546875" style="103" customWidth="1"/>
    <col min="6917" max="6917" width="13" style="103" customWidth="1"/>
    <col min="6918" max="7167" width="9.140625" style="103"/>
    <col min="7168" max="7168" width="4.28515625" style="103" customWidth="1"/>
    <col min="7169" max="7169" width="2.28515625" style="103" bestFit="1" customWidth="1"/>
    <col min="7170" max="7170" width="50.140625" style="103" customWidth="1"/>
    <col min="7171" max="7171" width="9.85546875" style="103" customWidth="1"/>
    <col min="7172" max="7172" width="11.85546875" style="103" customWidth="1"/>
    <col min="7173" max="7173" width="13" style="103" customWidth="1"/>
    <col min="7174" max="7423" width="9.140625" style="103"/>
    <col min="7424" max="7424" width="4.28515625" style="103" customWidth="1"/>
    <col min="7425" max="7425" width="2.28515625" style="103" bestFit="1" customWidth="1"/>
    <col min="7426" max="7426" width="50.140625" style="103" customWidth="1"/>
    <col min="7427" max="7427" width="9.85546875" style="103" customWidth="1"/>
    <col min="7428" max="7428" width="11.85546875" style="103" customWidth="1"/>
    <col min="7429" max="7429" width="13" style="103" customWidth="1"/>
    <col min="7430" max="7679" width="9.140625" style="103"/>
    <col min="7680" max="7680" width="4.28515625" style="103" customWidth="1"/>
    <col min="7681" max="7681" width="2.28515625" style="103" bestFit="1" customWidth="1"/>
    <col min="7682" max="7682" width="50.140625" style="103" customWidth="1"/>
    <col min="7683" max="7683" width="9.85546875" style="103" customWidth="1"/>
    <col min="7684" max="7684" width="11.85546875" style="103" customWidth="1"/>
    <col min="7685" max="7685" width="13" style="103" customWidth="1"/>
    <col min="7686" max="7935" width="9.140625" style="103"/>
    <col min="7936" max="7936" width="4.28515625" style="103" customWidth="1"/>
    <col min="7937" max="7937" width="2.28515625" style="103" bestFit="1" customWidth="1"/>
    <col min="7938" max="7938" width="50.140625" style="103" customWidth="1"/>
    <col min="7939" max="7939" width="9.85546875" style="103" customWidth="1"/>
    <col min="7940" max="7940" width="11.85546875" style="103" customWidth="1"/>
    <col min="7941" max="7941" width="13" style="103" customWidth="1"/>
    <col min="7942" max="8191" width="9.140625" style="103"/>
    <col min="8192" max="8192" width="4.28515625" style="103" customWidth="1"/>
    <col min="8193" max="8193" width="2.28515625" style="103" bestFit="1" customWidth="1"/>
    <col min="8194" max="8194" width="50.140625" style="103" customWidth="1"/>
    <col min="8195" max="8195" width="9.85546875" style="103" customWidth="1"/>
    <col min="8196" max="8196" width="11.85546875" style="103" customWidth="1"/>
    <col min="8197" max="8197" width="13" style="103" customWidth="1"/>
    <col min="8198" max="8447" width="9.140625" style="103"/>
    <col min="8448" max="8448" width="4.28515625" style="103" customWidth="1"/>
    <col min="8449" max="8449" width="2.28515625" style="103" bestFit="1" customWidth="1"/>
    <col min="8450" max="8450" width="50.140625" style="103" customWidth="1"/>
    <col min="8451" max="8451" width="9.85546875" style="103" customWidth="1"/>
    <col min="8452" max="8452" width="11.85546875" style="103" customWidth="1"/>
    <col min="8453" max="8453" width="13" style="103" customWidth="1"/>
    <col min="8454" max="8703" width="9.140625" style="103"/>
    <col min="8704" max="8704" width="4.28515625" style="103" customWidth="1"/>
    <col min="8705" max="8705" width="2.28515625" style="103" bestFit="1" customWidth="1"/>
    <col min="8706" max="8706" width="50.140625" style="103" customWidth="1"/>
    <col min="8707" max="8707" width="9.85546875" style="103" customWidth="1"/>
    <col min="8708" max="8708" width="11.85546875" style="103" customWidth="1"/>
    <col min="8709" max="8709" width="13" style="103" customWidth="1"/>
    <col min="8710" max="8959" width="9.140625" style="103"/>
    <col min="8960" max="8960" width="4.28515625" style="103" customWidth="1"/>
    <col min="8961" max="8961" width="2.28515625" style="103" bestFit="1" customWidth="1"/>
    <col min="8962" max="8962" width="50.140625" style="103" customWidth="1"/>
    <col min="8963" max="8963" width="9.85546875" style="103" customWidth="1"/>
    <col min="8964" max="8964" width="11.85546875" style="103" customWidth="1"/>
    <col min="8965" max="8965" width="13" style="103" customWidth="1"/>
    <col min="8966" max="9215" width="9.140625" style="103"/>
    <col min="9216" max="9216" width="4.28515625" style="103" customWidth="1"/>
    <col min="9217" max="9217" width="2.28515625" style="103" bestFit="1" customWidth="1"/>
    <col min="9218" max="9218" width="50.140625" style="103" customWidth="1"/>
    <col min="9219" max="9219" width="9.85546875" style="103" customWidth="1"/>
    <col min="9220" max="9220" width="11.85546875" style="103" customWidth="1"/>
    <col min="9221" max="9221" width="13" style="103" customWidth="1"/>
    <col min="9222" max="9471" width="9.140625" style="103"/>
    <col min="9472" max="9472" width="4.28515625" style="103" customWidth="1"/>
    <col min="9473" max="9473" width="2.28515625" style="103" bestFit="1" customWidth="1"/>
    <col min="9474" max="9474" width="50.140625" style="103" customWidth="1"/>
    <col min="9475" max="9475" width="9.85546875" style="103" customWidth="1"/>
    <col min="9476" max="9476" width="11.85546875" style="103" customWidth="1"/>
    <col min="9477" max="9477" width="13" style="103" customWidth="1"/>
    <col min="9478" max="9727" width="9.140625" style="103"/>
    <col min="9728" max="9728" width="4.28515625" style="103" customWidth="1"/>
    <col min="9729" max="9729" width="2.28515625" style="103" bestFit="1" customWidth="1"/>
    <col min="9730" max="9730" width="50.140625" style="103" customWidth="1"/>
    <col min="9731" max="9731" width="9.85546875" style="103" customWidth="1"/>
    <col min="9732" max="9732" width="11.85546875" style="103" customWidth="1"/>
    <col min="9733" max="9733" width="13" style="103" customWidth="1"/>
    <col min="9734" max="9983" width="9.140625" style="103"/>
    <col min="9984" max="9984" width="4.28515625" style="103" customWidth="1"/>
    <col min="9985" max="9985" width="2.28515625" style="103" bestFit="1" customWidth="1"/>
    <col min="9986" max="9986" width="50.140625" style="103" customWidth="1"/>
    <col min="9987" max="9987" width="9.85546875" style="103" customWidth="1"/>
    <col min="9988" max="9988" width="11.85546875" style="103" customWidth="1"/>
    <col min="9989" max="9989" width="13" style="103" customWidth="1"/>
    <col min="9990" max="10239" width="9.140625" style="103"/>
    <col min="10240" max="10240" width="4.28515625" style="103" customWidth="1"/>
    <col min="10241" max="10241" width="2.28515625" style="103" bestFit="1" customWidth="1"/>
    <col min="10242" max="10242" width="50.140625" style="103" customWidth="1"/>
    <col min="10243" max="10243" width="9.85546875" style="103" customWidth="1"/>
    <col min="10244" max="10244" width="11.85546875" style="103" customWidth="1"/>
    <col min="10245" max="10245" width="13" style="103" customWidth="1"/>
    <col min="10246" max="10495" width="9.140625" style="103"/>
    <col min="10496" max="10496" width="4.28515625" style="103" customWidth="1"/>
    <col min="10497" max="10497" width="2.28515625" style="103" bestFit="1" customWidth="1"/>
    <col min="10498" max="10498" width="50.140625" style="103" customWidth="1"/>
    <col min="10499" max="10499" width="9.85546875" style="103" customWidth="1"/>
    <col min="10500" max="10500" width="11.85546875" style="103" customWidth="1"/>
    <col min="10501" max="10501" width="13" style="103" customWidth="1"/>
    <col min="10502" max="10751" width="9.140625" style="103"/>
    <col min="10752" max="10752" width="4.28515625" style="103" customWidth="1"/>
    <col min="10753" max="10753" width="2.28515625" style="103" bestFit="1" customWidth="1"/>
    <col min="10754" max="10754" width="50.140625" style="103" customWidth="1"/>
    <col min="10755" max="10755" width="9.85546875" style="103" customWidth="1"/>
    <col min="10756" max="10756" width="11.85546875" style="103" customWidth="1"/>
    <col min="10757" max="10757" width="13" style="103" customWidth="1"/>
    <col min="10758" max="11007" width="9.140625" style="103"/>
    <col min="11008" max="11008" width="4.28515625" style="103" customWidth="1"/>
    <col min="11009" max="11009" width="2.28515625" style="103" bestFit="1" customWidth="1"/>
    <col min="11010" max="11010" width="50.140625" style="103" customWidth="1"/>
    <col min="11011" max="11011" width="9.85546875" style="103" customWidth="1"/>
    <col min="11012" max="11012" width="11.85546875" style="103" customWidth="1"/>
    <col min="11013" max="11013" width="13" style="103" customWidth="1"/>
    <col min="11014" max="11263" width="9.140625" style="103"/>
    <col min="11264" max="11264" width="4.28515625" style="103" customWidth="1"/>
    <col min="11265" max="11265" width="2.28515625" style="103" bestFit="1" customWidth="1"/>
    <col min="11266" max="11266" width="50.140625" style="103" customWidth="1"/>
    <col min="11267" max="11267" width="9.85546875" style="103" customWidth="1"/>
    <col min="11268" max="11268" width="11.85546875" style="103" customWidth="1"/>
    <col min="11269" max="11269" width="13" style="103" customWidth="1"/>
    <col min="11270" max="11519" width="9.140625" style="103"/>
    <col min="11520" max="11520" width="4.28515625" style="103" customWidth="1"/>
    <col min="11521" max="11521" width="2.28515625" style="103" bestFit="1" customWidth="1"/>
    <col min="11522" max="11522" width="50.140625" style="103" customWidth="1"/>
    <col min="11523" max="11523" width="9.85546875" style="103" customWidth="1"/>
    <col min="11524" max="11524" width="11.85546875" style="103" customWidth="1"/>
    <col min="11525" max="11525" width="13" style="103" customWidth="1"/>
    <col min="11526" max="11775" width="9.140625" style="103"/>
    <col min="11776" max="11776" width="4.28515625" style="103" customWidth="1"/>
    <col min="11777" max="11777" width="2.28515625" style="103" bestFit="1" customWidth="1"/>
    <col min="11778" max="11778" width="50.140625" style="103" customWidth="1"/>
    <col min="11779" max="11779" width="9.85546875" style="103" customWidth="1"/>
    <col min="11780" max="11780" width="11.85546875" style="103" customWidth="1"/>
    <col min="11781" max="11781" width="13" style="103" customWidth="1"/>
    <col min="11782" max="12031" width="9.140625" style="103"/>
    <col min="12032" max="12032" width="4.28515625" style="103" customWidth="1"/>
    <col min="12033" max="12033" width="2.28515625" style="103" bestFit="1" customWidth="1"/>
    <col min="12034" max="12034" width="50.140625" style="103" customWidth="1"/>
    <col min="12035" max="12035" width="9.85546875" style="103" customWidth="1"/>
    <col min="12036" max="12036" width="11.85546875" style="103" customWidth="1"/>
    <col min="12037" max="12037" width="13" style="103" customWidth="1"/>
    <col min="12038" max="12287" width="9.140625" style="103"/>
    <col min="12288" max="12288" width="4.28515625" style="103" customWidth="1"/>
    <col min="12289" max="12289" width="2.28515625" style="103" bestFit="1" customWidth="1"/>
    <col min="12290" max="12290" width="50.140625" style="103" customWidth="1"/>
    <col min="12291" max="12291" width="9.85546875" style="103" customWidth="1"/>
    <col min="12292" max="12292" width="11.85546875" style="103" customWidth="1"/>
    <col min="12293" max="12293" width="13" style="103" customWidth="1"/>
    <col min="12294" max="12543" width="9.140625" style="103"/>
    <col min="12544" max="12544" width="4.28515625" style="103" customWidth="1"/>
    <col min="12545" max="12545" width="2.28515625" style="103" bestFit="1" customWidth="1"/>
    <col min="12546" max="12546" width="50.140625" style="103" customWidth="1"/>
    <col min="12547" max="12547" width="9.85546875" style="103" customWidth="1"/>
    <col min="12548" max="12548" width="11.85546875" style="103" customWidth="1"/>
    <col min="12549" max="12549" width="13" style="103" customWidth="1"/>
    <col min="12550" max="12799" width="9.140625" style="103"/>
    <col min="12800" max="12800" width="4.28515625" style="103" customWidth="1"/>
    <col min="12801" max="12801" width="2.28515625" style="103" bestFit="1" customWidth="1"/>
    <col min="12802" max="12802" width="50.140625" style="103" customWidth="1"/>
    <col min="12803" max="12803" width="9.85546875" style="103" customWidth="1"/>
    <col min="12804" max="12804" width="11.85546875" style="103" customWidth="1"/>
    <col min="12805" max="12805" width="13" style="103" customWidth="1"/>
    <col min="12806" max="13055" width="9.140625" style="103"/>
    <col min="13056" max="13056" width="4.28515625" style="103" customWidth="1"/>
    <col min="13057" max="13057" width="2.28515625" style="103" bestFit="1" customWidth="1"/>
    <col min="13058" max="13058" width="50.140625" style="103" customWidth="1"/>
    <col min="13059" max="13059" width="9.85546875" style="103" customWidth="1"/>
    <col min="13060" max="13060" width="11.85546875" style="103" customWidth="1"/>
    <col min="13061" max="13061" width="13" style="103" customWidth="1"/>
    <col min="13062" max="13311" width="9.140625" style="103"/>
    <col min="13312" max="13312" width="4.28515625" style="103" customWidth="1"/>
    <col min="13313" max="13313" width="2.28515625" style="103" bestFit="1" customWidth="1"/>
    <col min="13314" max="13314" width="50.140625" style="103" customWidth="1"/>
    <col min="13315" max="13315" width="9.85546875" style="103" customWidth="1"/>
    <col min="13316" max="13316" width="11.85546875" style="103" customWidth="1"/>
    <col min="13317" max="13317" width="13" style="103" customWidth="1"/>
    <col min="13318" max="13567" width="9.140625" style="103"/>
    <col min="13568" max="13568" width="4.28515625" style="103" customWidth="1"/>
    <col min="13569" max="13569" width="2.28515625" style="103" bestFit="1" customWidth="1"/>
    <col min="13570" max="13570" width="50.140625" style="103" customWidth="1"/>
    <col min="13571" max="13571" width="9.85546875" style="103" customWidth="1"/>
    <col min="13572" max="13572" width="11.85546875" style="103" customWidth="1"/>
    <col min="13573" max="13573" width="13" style="103" customWidth="1"/>
    <col min="13574" max="13823" width="9.140625" style="103"/>
    <col min="13824" max="13824" width="4.28515625" style="103" customWidth="1"/>
    <col min="13825" max="13825" width="2.28515625" style="103" bestFit="1" customWidth="1"/>
    <col min="13826" max="13826" width="50.140625" style="103" customWidth="1"/>
    <col min="13827" max="13827" width="9.85546875" style="103" customWidth="1"/>
    <col min="13828" max="13828" width="11.85546875" style="103" customWidth="1"/>
    <col min="13829" max="13829" width="13" style="103" customWidth="1"/>
    <col min="13830" max="14079" width="9.140625" style="103"/>
    <col min="14080" max="14080" width="4.28515625" style="103" customWidth="1"/>
    <col min="14081" max="14081" width="2.28515625" style="103" bestFit="1" customWidth="1"/>
    <col min="14082" max="14082" width="50.140625" style="103" customWidth="1"/>
    <col min="14083" max="14083" width="9.85546875" style="103" customWidth="1"/>
    <col min="14084" max="14084" width="11.85546875" style="103" customWidth="1"/>
    <col min="14085" max="14085" width="13" style="103" customWidth="1"/>
    <col min="14086" max="14335" width="9.140625" style="103"/>
    <col min="14336" max="14336" width="4.28515625" style="103" customWidth="1"/>
    <col min="14337" max="14337" width="2.28515625" style="103" bestFit="1" customWidth="1"/>
    <col min="14338" max="14338" width="50.140625" style="103" customWidth="1"/>
    <col min="14339" max="14339" width="9.85546875" style="103" customWidth="1"/>
    <col min="14340" max="14340" width="11.85546875" style="103" customWidth="1"/>
    <col min="14341" max="14341" width="13" style="103" customWidth="1"/>
    <col min="14342" max="14591" width="9.140625" style="103"/>
    <col min="14592" max="14592" width="4.28515625" style="103" customWidth="1"/>
    <col min="14593" max="14593" width="2.28515625" style="103" bestFit="1" customWidth="1"/>
    <col min="14594" max="14594" width="50.140625" style="103" customWidth="1"/>
    <col min="14595" max="14595" width="9.85546875" style="103" customWidth="1"/>
    <col min="14596" max="14596" width="11.85546875" style="103" customWidth="1"/>
    <col min="14597" max="14597" width="13" style="103" customWidth="1"/>
    <col min="14598" max="14847" width="9.140625" style="103"/>
    <col min="14848" max="14848" width="4.28515625" style="103" customWidth="1"/>
    <col min="14849" max="14849" width="2.28515625" style="103" bestFit="1" customWidth="1"/>
    <col min="14850" max="14850" width="50.140625" style="103" customWidth="1"/>
    <col min="14851" max="14851" width="9.85546875" style="103" customWidth="1"/>
    <col min="14852" max="14852" width="11.85546875" style="103" customWidth="1"/>
    <col min="14853" max="14853" width="13" style="103" customWidth="1"/>
    <col min="14854" max="15103" width="9.140625" style="103"/>
    <col min="15104" max="15104" width="4.28515625" style="103" customWidth="1"/>
    <col min="15105" max="15105" width="2.28515625" style="103" bestFit="1" customWidth="1"/>
    <col min="15106" max="15106" width="50.140625" style="103" customWidth="1"/>
    <col min="15107" max="15107" width="9.85546875" style="103" customWidth="1"/>
    <col min="15108" max="15108" width="11.85546875" style="103" customWidth="1"/>
    <col min="15109" max="15109" width="13" style="103" customWidth="1"/>
    <col min="15110" max="15359" width="9.140625" style="103"/>
    <col min="15360" max="15360" width="4.28515625" style="103" customWidth="1"/>
    <col min="15361" max="15361" width="2.28515625" style="103" bestFit="1" customWidth="1"/>
    <col min="15362" max="15362" width="50.140625" style="103" customWidth="1"/>
    <col min="15363" max="15363" width="9.85546875" style="103" customWidth="1"/>
    <col min="15364" max="15364" width="11.85546875" style="103" customWidth="1"/>
    <col min="15365" max="15365" width="13" style="103" customWidth="1"/>
    <col min="15366" max="15615" width="9.140625" style="103"/>
    <col min="15616" max="15616" width="4.28515625" style="103" customWidth="1"/>
    <col min="15617" max="15617" width="2.28515625" style="103" bestFit="1" customWidth="1"/>
    <col min="15618" max="15618" width="50.140625" style="103" customWidth="1"/>
    <col min="15619" max="15619" width="9.85546875" style="103" customWidth="1"/>
    <col min="15620" max="15620" width="11.85546875" style="103" customWidth="1"/>
    <col min="15621" max="15621" width="13" style="103" customWidth="1"/>
    <col min="15622" max="15871" width="9.140625" style="103"/>
    <col min="15872" max="15872" width="4.28515625" style="103" customWidth="1"/>
    <col min="15873" max="15873" width="2.28515625" style="103" bestFit="1" customWidth="1"/>
    <col min="15874" max="15874" width="50.140625" style="103" customWidth="1"/>
    <col min="15875" max="15875" width="9.85546875" style="103" customWidth="1"/>
    <col min="15876" max="15876" width="11.85546875" style="103" customWidth="1"/>
    <col min="15877" max="15877" width="13" style="103" customWidth="1"/>
    <col min="15878" max="16127" width="9.140625" style="103"/>
    <col min="16128" max="16128" width="4.28515625" style="103" customWidth="1"/>
    <col min="16129" max="16129" width="2.28515625" style="103" bestFit="1" customWidth="1"/>
    <col min="16130" max="16130" width="50.140625" style="103" customWidth="1"/>
    <col min="16131" max="16131" width="9.85546875" style="103" customWidth="1"/>
    <col min="16132" max="16132" width="11.85546875" style="103" customWidth="1"/>
    <col min="16133" max="16133" width="13" style="103" customWidth="1"/>
    <col min="16134" max="16384" width="9.140625" style="103"/>
  </cols>
  <sheetData>
    <row r="1" spans="1:8" ht="21" customHeight="1">
      <c r="A1" s="1745" t="s">
        <v>1158</v>
      </c>
      <c r="B1" s="1745"/>
      <c r="C1" s="1745"/>
      <c r="D1" s="1745"/>
      <c r="E1" s="1745"/>
      <c r="F1" s="1745"/>
      <c r="G1" s="1745"/>
      <c r="H1" s="1745"/>
    </row>
    <row r="2" spans="1:8" ht="21" customHeight="1">
      <c r="A2" s="374" t="s">
        <v>549</v>
      </c>
      <c r="B2" s="374"/>
      <c r="C2" s="374"/>
      <c r="D2" s="381"/>
      <c r="E2" s="1741" t="s">
        <v>491</v>
      </c>
      <c r="F2" s="1741"/>
      <c r="G2" s="1741"/>
      <c r="H2" s="1741"/>
    </row>
    <row r="3" spans="1:8" ht="21" customHeight="1">
      <c r="A3" s="116"/>
      <c r="B3" s="104"/>
      <c r="C3" s="105"/>
      <c r="D3" s="106"/>
      <c r="E3" s="1764" t="s">
        <v>156</v>
      </c>
      <c r="F3" s="1764"/>
      <c r="G3" s="1764"/>
      <c r="H3" s="1764"/>
    </row>
    <row r="4" spans="1:8" s="115" customFormat="1" ht="31.5">
      <c r="A4" s="1770" t="s">
        <v>48</v>
      </c>
      <c r="B4" s="1771"/>
      <c r="C4" s="1772"/>
      <c r="D4" s="802" t="s">
        <v>1088</v>
      </c>
      <c r="E4" s="804" t="s">
        <v>459</v>
      </c>
      <c r="F4" s="1742" t="s">
        <v>1159</v>
      </c>
      <c r="G4" s="1743"/>
      <c r="H4" s="1744"/>
    </row>
    <row r="5" spans="1:8" s="115" customFormat="1" ht="36.75" customHeight="1">
      <c r="A5" s="1773"/>
      <c r="B5" s="1774"/>
      <c r="C5" s="1775"/>
      <c r="D5" s="802" t="s">
        <v>1845</v>
      </c>
      <c r="E5" s="87" t="s">
        <v>1840</v>
      </c>
      <c r="F5" s="87" t="s">
        <v>1841</v>
      </c>
      <c r="G5" s="87" t="s">
        <v>1842</v>
      </c>
      <c r="H5" s="87" t="s">
        <v>1843</v>
      </c>
    </row>
    <row r="6" spans="1:8">
      <c r="A6" s="1767" t="s">
        <v>137</v>
      </c>
      <c r="B6" s="107"/>
      <c r="C6" s="107" t="s">
        <v>545</v>
      </c>
      <c r="D6" s="107"/>
      <c r="E6" s="107"/>
      <c r="F6" s="107"/>
      <c r="G6" s="107"/>
      <c r="H6" s="107"/>
    </row>
    <row r="7" spans="1:8">
      <c r="A7" s="1768"/>
      <c r="B7" s="1765" t="s">
        <v>302</v>
      </c>
      <c r="C7" s="109" t="s">
        <v>835</v>
      </c>
      <c r="D7" s="1776" t="s">
        <v>1568</v>
      </c>
      <c r="E7" s="1777"/>
      <c r="F7" s="1777"/>
      <c r="G7" s="1777"/>
      <c r="H7" s="1778"/>
    </row>
    <row r="8" spans="1:8">
      <c r="A8" s="1768"/>
      <c r="B8" s="1766"/>
      <c r="C8" s="109" t="s">
        <v>518</v>
      </c>
      <c r="D8" s="1779"/>
      <c r="E8" s="1780"/>
      <c r="F8" s="1780"/>
      <c r="G8" s="1780"/>
      <c r="H8" s="1781"/>
    </row>
    <row r="9" spans="1:8">
      <c r="A9" s="1768"/>
      <c r="B9" s="108" t="s">
        <v>303</v>
      </c>
      <c r="C9" s="110" t="s">
        <v>546</v>
      </c>
      <c r="D9" s="1779"/>
      <c r="E9" s="1780"/>
      <c r="F9" s="1780"/>
      <c r="G9" s="1780"/>
      <c r="H9" s="1781"/>
    </row>
    <row r="10" spans="1:8">
      <c r="A10" s="1768"/>
      <c r="B10" s="108" t="s">
        <v>308</v>
      </c>
      <c r="C10" s="110" t="s">
        <v>546</v>
      </c>
      <c r="D10" s="1779"/>
      <c r="E10" s="1780"/>
      <c r="F10" s="1780"/>
      <c r="G10" s="1780"/>
      <c r="H10" s="1781"/>
    </row>
    <row r="11" spans="1:8">
      <c r="A11" s="1768"/>
      <c r="B11" s="108" t="s">
        <v>425</v>
      </c>
      <c r="C11" s="110" t="s">
        <v>546</v>
      </c>
      <c r="D11" s="1779"/>
      <c r="E11" s="1780"/>
      <c r="F11" s="1780"/>
      <c r="G11" s="1780"/>
      <c r="H11" s="1781"/>
    </row>
    <row r="12" spans="1:8">
      <c r="A12" s="1769"/>
      <c r="B12" s="108"/>
      <c r="C12" s="110"/>
      <c r="D12" s="1779"/>
      <c r="E12" s="1780"/>
      <c r="F12" s="1780"/>
      <c r="G12" s="1780"/>
      <c r="H12" s="1781"/>
    </row>
    <row r="13" spans="1:8">
      <c r="A13" s="1760" t="s">
        <v>142</v>
      </c>
      <c r="B13" s="111"/>
      <c r="C13" s="107" t="s">
        <v>547</v>
      </c>
      <c r="D13" s="1779"/>
      <c r="E13" s="1780"/>
      <c r="F13" s="1780"/>
      <c r="G13" s="1780"/>
      <c r="H13" s="1781"/>
    </row>
    <row r="14" spans="1:8">
      <c r="A14" s="1761"/>
      <c r="B14" s="112"/>
      <c r="C14" s="109" t="s">
        <v>519</v>
      </c>
      <c r="D14" s="1779"/>
      <c r="E14" s="1780"/>
      <c r="F14" s="1780"/>
      <c r="G14" s="1780"/>
      <c r="H14" s="1781"/>
    </row>
    <row r="15" spans="1:8">
      <c r="A15" s="1761"/>
      <c r="B15" s="112" t="s">
        <v>302</v>
      </c>
      <c r="C15" s="110" t="s">
        <v>546</v>
      </c>
      <c r="D15" s="1779"/>
      <c r="E15" s="1780"/>
      <c r="F15" s="1780"/>
      <c r="G15" s="1780"/>
      <c r="H15" s="1781"/>
    </row>
    <row r="16" spans="1:8">
      <c r="A16" s="1761"/>
      <c r="B16" s="112" t="s">
        <v>303</v>
      </c>
      <c r="C16" s="110" t="s">
        <v>546</v>
      </c>
      <c r="D16" s="1779"/>
      <c r="E16" s="1780"/>
      <c r="F16" s="1780"/>
      <c r="G16" s="1780"/>
      <c r="H16" s="1781"/>
    </row>
    <row r="17" spans="1:8">
      <c r="A17" s="1762"/>
      <c r="B17" s="112" t="s">
        <v>308</v>
      </c>
      <c r="C17" s="110" t="s">
        <v>546</v>
      </c>
      <c r="D17" s="1779"/>
      <c r="E17" s="1780"/>
      <c r="F17" s="1780"/>
      <c r="G17" s="1780"/>
      <c r="H17" s="1781"/>
    </row>
    <row r="18" spans="1:8">
      <c r="A18" s="1760" t="s">
        <v>183</v>
      </c>
      <c r="B18" s="111"/>
      <c r="C18" s="113" t="s">
        <v>520</v>
      </c>
      <c r="D18" s="1779"/>
      <c r="E18" s="1780"/>
      <c r="F18" s="1780"/>
      <c r="G18" s="1780"/>
      <c r="H18" s="1781"/>
    </row>
    <row r="19" spans="1:8">
      <c r="A19" s="1761"/>
      <c r="B19" s="112"/>
      <c r="C19" s="109"/>
      <c r="D19" s="1779"/>
      <c r="E19" s="1780"/>
      <c r="F19" s="1780"/>
      <c r="G19" s="1780"/>
      <c r="H19" s="1781"/>
    </row>
    <row r="20" spans="1:8">
      <c r="A20" s="1761"/>
      <c r="B20" s="112"/>
      <c r="C20" s="109" t="s">
        <v>521</v>
      </c>
      <c r="D20" s="1779"/>
      <c r="E20" s="1780"/>
      <c r="F20" s="1780"/>
      <c r="G20" s="1780"/>
      <c r="H20" s="1781"/>
    </row>
    <row r="21" spans="1:8">
      <c r="A21" s="1761"/>
      <c r="B21" s="112" t="s">
        <v>302</v>
      </c>
      <c r="C21" s="110" t="s">
        <v>546</v>
      </c>
      <c r="D21" s="1779"/>
      <c r="E21" s="1780"/>
      <c r="F21" s="1780"/>
      <c r="G21" s="1780"/>
      <c r="H21" s="1781"/>
    </row>
    <row r="22" spans="1:8">
      <c r="A22" s="1761"/>
      <c r="B22" s="112" t="s">
        <v>303</v>
      </c>
      <c r="C22" s="110" t="s">
        <v>546</v>
      </c>
      <c r="D22" s="1779"/>
      <c r="E22" s="1780"/>
      <c r="F22" s="1780"/>
      <c r="G22" s="1780"/>
      <c r="H22" s="1781"/>
    </row>
    <row r="23" spans="1:8">
      <c r="A23" s="1761"/>
      <c r="B23" s="112" t="s">
        <v>308</v>
      </c>
      <c r="C23" s="110" t="s">
        <v>546</v>
      </c>
      <c r="D23" s="1779"/>
      <c r="E23" s="1780"/>
      <c r="F23" s="1780"/>
      <c r="G23" s="1780"/>
      <c r="H23" s="1781"/>
    </row>
    <row r="24" spans="1:8" ht="33">
      <c r="A24" s="1762"/>
      <c r="B24" s="111"/>
      <c r="C24" s="113" t="s">
        <v>522</v>
      </c>
      <c r="D24" s="1779"/>
      <c r="E24" s="1780"/>
      <c r="F24" s="1780"/>
      <c r="G24" s="1780"/>
      <c r="H24" s="1781"/>
    </row>
    <row r="25" spans="1:8">
      <c r="A25" s="117" t="s">
        <v>184</v>
      </c>
      <c r="B25" s="111"/>
      <c r="C25" s="113" t="s">
        <v>548</v>
      </c>
      <c r="D25" s="1779"/>
      <c r="E25" s="1780"/>
      <c r="F25" s="1780"/>
      <c r="G25" s="1780"/>
      <c r="H25" s="1781"/>
    </row>
    <row r="26" spans="1:8" ht="33">
      <c r="A26" s="118" t="s">
        <v>185</v>
      </c>
      <c r="B26" s="112"/>
      <c r="C26" s="110" t="s">
        <v>523</v>
      </c>
      <c r="D26" s="1779"/>
      <c r="E26" s="1780"/>
      <c r="F26" s="1780"/>
      <c r="G26" s="1780"/>
      <c r="H26" s="1781"/>
    </row>
    <row r="27" spans="1:8" ht="33">
      <c r="A27" s="117" t="s">
        <v>186</v>
      </c>
      <c r="B27" s="111"/>
      <c r="C27" s="113" t="s">
        <v>524</v>
      </c>
      <c r="D27" s="1782"/>
      <c r="E27" s="1783"/>
      <c r="F27" s="1783"/>
      <c r="G27" s="1783"/>
      <c r="H27" s="1784"/>
    </row>
    <row r="31" spans="1:8">
      <c r="E31" s="1763" t="s">
        <v>401</v>
      </c>
      <c r="F31" s="1763"/>
      <c r="G31" s="1763"/>
      <c r="H31" s="1763"/>
    </row>
  </sheetData>
  <mergeCells count="11">
    <mergeCell ref="A1:H1"/>
    <mergeCell ref="A18:A24"/>
    <mergeCell ref="E31:H31"/>
    <mergeCell ref="E3:H3"/>
    <mergeCell ref="B7:B8"/>
    <mergeCell ref="A6:A12"/>
    <mergeCell ref="A4:C5"/>
    <mergeCell ref="A13:A17"/>
    <mergeCell ref="D7:H27"/>
    <mergeCell ref="E2:H2"/>
    <mergeCell ref="F4:H4"/>
  </mergeCells>
  <pageMargins left="0.28000000000000003" right="0.31" top="0.74803149606299213" bottom="0.74803149606299213" header="0.31496062992125984" footer="0.31496062992125984"/>
  <pageSetup paperSize="9" scale="66"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11"/>
  <sheetViews>
    <sheetView view="pageBreakPreview" zoomScale="60" zoomScaleNormal="90" workbookViewId="0">
      <selection activeCell="I25" sqref="I25"/>
    </sheetView>
  </sheetViews>
  <sheetFormatPr defaultRowHeight="15"/>
  <cols>
    <col min="1" max="1" width="22" style="1401" customWidth="1"/>
    <col min="2" max="2" width="31.28515625" style="1401" customWidth="1"/>
    <col min="3" max="3" width="11" style="1401" customWidth="1"/>
    <col min="4" max="4" width="9" style="1401" customWidth="1"/>
    <col min="5" max="5" width="11" style="1401" customWidth="1"/>
    <col min="6" max="6" width="9" style="1401" customWidth="1"/>
    <col min="7" max="7" width="20.5703125" style="1401" customWidth="1"/>
    <col min="8" max="8" width="20.42578125" style="1454" customWidth="1"/>
    <col min="9" max="9" width="28" style="1401" customWidth="1"/>
    <col min="10" max="16384" width="9.140625" style="1401"/>
  </cols>
  <sheetData>
    <row r="1" spans="1:8" ht="27" customHeight="1" thickBot="1">
      <c r="A1" s="2348" t="s">
        <v>2275</v>
      </c>
      <c r="B1" s="2349"/>
      <c r="C1" s="2349"/>
      <c r="D1" s="2349"/>
      <c r="E1" s="2349"/>
      <c r="F1" s="2349"/>
      <c r="G1" s="2349"/>
      <c r="H1" s="2350"/>
    </row>
    <row r="2" spans="1:8" ht="15.75" customHeight="1" thickBot="1">
      <c r="A2" s="2351" t="s">
        <v>1696</v>
      </c>
      <c r="B2" s="2352"/>
      <c r="C2" s="2352"/>
      <c r="D2" s="2352"/>
      <c r="E2" s="2352"/>
      <c r="F2" s="2352"/>
      <c r="G2" s="2352"/>
      <c r="H2" s="2353"/>
    </row>
    <row r="3" spans="1:8" ht="15" customHeight="1">
      <c r="A3" s="2354" t="s">
        <v>1098</v>
      </c>
      <c r="B3" s="2355"/>
      <c r="C3" s="2355"/>
      <c r="D3" s="2355"/>
      <c r="E3" s="2355"/>
      <c r="F3" s="2355"/>
      <c r="G3" s="2355"/>
      <c r="H3" s="2356"/>
    </row>
    <row r="4" spans="1:8" ht="15.75" customHeight="1" thickBot="1">
      <c r="A4" s="2367" t="s">
        <v>1099</v>
      </c>
      <c r="B4" s="2368"/>
      <c r="C4" s="2368"/>
      <c r="D4" s="2368"/>
      <c r="E4" s="2368"/>
      <c r="F4" s="2368"/>
      <c r="G4" s="2368"/>
      <c r="H4" s="2369"/>
    </row>
    <row r="5" spans="1:8" ht="15.75" customHeight="1" thickBot="1">
      <c r="A5" s="2370" t="s">
        <v>456</v>
      </c>
      <c r="B5" s="2372" t="s">
        <v>434</v>
      </c>
      <c r="C5" s="2374" t="s">
        <v>435</v>
      </c>
      <c r="D5" s="2375"/>
      <c r="E5" s="2375"/>
      <c r="F5" s="2376"/>
      <c r="G5" s="2370" t="s">
        <v>1697</v>
      </c>
      <c r="H5" s="2370" t="s">
        <v>1100</v>
      </c>
    </row>
    <row r="6" spans="1:8" ht="15.75" customHeight="1" thickBot="1">
      <c r="A6" s="2371"/>
      <c r="B6" s="2373"/>
      <c r="C6" s="2348" t="s">
        <v>1101</v>
      </c>
      <c r="D6" s="2349"/>
      <c r="E6" s="2348" t="s">
        <v>1102</v>
      </c>
      <c r="F6" s="2350"/>
      <c r="G6" s="2371"/>
      <c r="H6" s="2371"/>
    </row>
    <row r="7" spans="1:8" ht="30.75" thickBot="1">
      <c r="A7" s="2371"/>
      <c r="B7" s="2373"/>
      <c r="C7" s="1402" t="s">
        <v>1103</v>
      </c>
      <c r="D7" s="1402" t="s">
        <v>1104</v>
      </c>
      <c r="E7" s="1402" t="s">
        <v>1105</v>
      </c>
      <c r="F7" s="1403" t="s">
        <v>1104</v>
      </c>
      <c r="G7" s="2377"/>
      <c r="H7" s="2371"/>
    </row>
    <row r="8" spans="1:8" ht="15.75" thickBot="1">
      <c r="A8" s="1404" t="s">
        <v>363</v>
      </c>
      <c r="B8" s="1405" t="s">
        <v>972</v>
      </c>
      <c r="C8" s="1406" t="s">
        <v>972</v>
      </c>
      <c r="D8" s="1407" t="s">
        <v>972</v>
      </c>
      <c r="E8" s="1407" t="s">
        <v>972</v>
      </c>
      <c r="F8" s="1408" t="s">
        <v>972</v>
      </c>
      <c r="G8" s="1409"/>
      <c r="H8" s="1453" t="s">
        <v>972</v>
      </c>
    </row>
    <row r="9" spans="1:8" ht="15.75" thickBot="1">
      <c r="A9" s="1411"/>
      <c r="B9" s="1412"/>
      <c r="C9" s="1425"/>
      <c r="D9" s="1426"/>
      <c r="E9" s="1426"/>
      <c r="F9" s="1427"/>
      <c r="G9" s="1428"/>
      <c r="H9" s="1569"/>
    </row>
    <row r="10" spans="1:8">
      <c r="A10" s="1418" t="s">
        <v>965</v>
      </c>
      <c r="B10" s="1401" t="s">
        <v>1421</v>
      </c>
      <c r="C10" s="1534">
        <f>P2E!C10</f>
        <v>0</v>
      </c>
      <c r="D10" s="1534">
        <f>P2E!D10</f>
        <v>0</v>
      </c>
      <c r="E10" s="1534">
        <f>P2E!E10</f>
        <v>0</v>
      </c>
      <c r="F10" s="1534">
        <f>P2E!F10</f>
        <v>0</v>
      </c>
      <c r="G10" s="1534">
        <f>P2E!G10</f>
        <v>42.877439000000003</v>
      </c>
      <c r="H10" s="1535">
        <f>P2E!H10</f>
        <v>42.877439000000003</v>
      </c>
    </row>
    <row r="11" spans="1:8">
      <c r="A11" s="1419" t="s">
        <v>965</v>
      </c>
      <c r="B11" s="1401" t="s">
        <v>1420</v>
      </c>
      <c r="C11" s="1534">
        <f>P2E!C11</f>
        <v>0</v>
      </c>
      <c r="D11" s="1534">
        <f>P2E!D11</f>
        <v>0</v>
      </c>
      <c r="E11" s="1534">
        <f>P2E!E11</f>
        <v>112.10956856000001</v>
      </c>
      <c r="F11" s="1534">
        <f>P2E!F11</f>
        <v>0</v>
      </c>
      <c r="G11" s="1534">
        <f>P2E!G11</f>
        <v>0</v>
      </c>
      <c r="H11" s="1535">
        <f>P2E!H11</f>
        <v>112.10956856000001</v>
      </c>
    </row>
    <row r="12" spans="1:8">
      <c r="A12" s="1419" t="s">
        <v>965</v>
      </c>
      <c r="B12" s="1401" t="s">
        <v>1422</v>
      </c>
      <c r="C12" s="1534">
        <f>P2E!C12</f>
        <v>0</v>
      </c>
      <c r="D12" s="1534">
        <f>P2E!D12</f>
        <v>0</v>
      </c>
      <c r="E12" s="1534">
        <f>P2E!E12</f>
        <v>44.682420200000003</v>
      </c>
      <c r="F12" s="1534">
        <f>P2E!F12</f>
        <v>0</v>
      </c>
      <c r="G12" s="1534">
        <f>P2E!G12</f>
        <v>0</v>
      </c>
      <c r="H12" s="1535">
        <f>P2E!H12</f>
        <v>44.682420200000003</v>
      </c>
    </row>
    <row r="13" spans="1:8">
      <c r="A13" s="1419" t="s">
        <v>965</v>
      </c>
      <c r="B13" s="1401" t="s">
        <v>1423</v>
      </c>
      <c r="C13" s="1534">
        <f>P2E!C13</f>
        <v>0</v>
      </c>
      <c r="D13" s="1534">
        <f>P2E!D13</f>
        <v>0</v>
      </c>
      <c r="E13" s="1534">
        <f>P2E!E13</f>
        <v>0</v>
      </c>
      <c r="F13" s="1534">
        <f>P2E!F13</f>
        <v>0</v>
      </c>
      <c r="G13" s="1534">
        <f>P2E!G13</f>
        <v>69.488826220000007</v>
      </c>
      <c r="H13" s="1535">
        <f>P2E!H13</f>
        <v>69.488826220000007</v>
      </c>
    </row>
    <row r="14" spans="1:8">
      <c r="A14" s="1419" t="s">
        <v>965</v>
      </c>
      <c r="B14" s="1401" t="s">
        <v>1424</v>
      </c>
      <c r="C14" s="1534">
        <f>P2E!C14</f>
        <v>0</v>
      </c>
      <c r="D14" s="1534">
        <f>P2E!D14</f>
        <v>0</v>
      </c>
      <c r="E14" s="1534">
        <f>P2E!E14</f>
        <v>0</v>
      </c>
      <c r="F14" s="1534">
        <f>P2E!F14</f>
        <v>0</v>
      </c>
      <c r="G14" s="1534">
        <f>P2E!G14</f>
        <v>48.074631000000011</v>
      </c>
      <c r="H14" s="1535">
        <f>P2E!H14</f>
        <v>48.074631000000011</v>
      </c>
    </row>
    <row r="15" spans="1:8">
      <c r="A15" s="1419" t="s">
        <v>965</v>
      </c>
      <c r="B15" s="1401" t="s">
        <v>1425</v>
      </c>
      <c r="C15" s="1534">
        <f>P2E!C15</f>
        <v>0</v>
      </c>
      <c r="D15" s="1534">
        <f>P2E!D15</f>
        <v>0</v>
      </c>
      <c r="E15" s="1534">
        <f>P2E!E15</f>
        <v>0</v>
      </c>
      <c r="F15" s="1534">
        <f>P2E!F15</f>
        <v>0</v>
      </c>
      <c r="G15" s="1534">
        <f>P2E!G15</f>
        <v>43.856546800000011</v>
      </c>
      <c r="H15" s="1535">
        <f>P2E!H15</f>
        <v>43.856546800000011</v>
      </c>
    </row>
    <row r="16" spans="1:8">
      <c r="A16" s="1419" t="s">
        <v>965</v>
      </c>
      <c r="B16" s="1401" t="s">
        <v>1427</v>
      </c>
      <c r="C16" s="1534">
        <f>P2E!C16</f>
        <v>0</v>
      </c>
      <c r="D16" s="1534">
        <f>P2E!D16</f>
        <v>0</v>
      </c>
      <c r="E16" s="1534">
        <f>P2E!E16</f>
        <v>0</v>
      </c>
      <c r="F16" s="1534">
        <f>P2E!F16</f>
        <v>0</v>
      </c>
      <c r="G16" s="1534">
        <f>P2E!G16</f>
        <v>18.535143000000005</v>
      </c>
      <c r="H16" s="1535">
        <f>P2E!H16</f>
        <v>18.535143000000005</v>
      </c>
    </row>
    <row r="17" spans="1:8">
      <c r="A17" s="1419" t="s">
        <v>965</v>
      </c>
      <c r="B17" s="1401" t="s">
        <v>1428</v>
      </c>
      <c r="C17" s="1534">
        <f>P2E!C17</f>
        <v>0</v>
      </c>
      <c r="D17" s="1534">
        <f>P2E!D17</f>
        <v>0</v>
      </c>
      <c r="E17" s="1534">
        <f>P2E!E17</f>
        <v>0</v>
      </c>
      <c r="F17" s="1534">
        <f>P2E!F17</f>
        <v>0</v>
      </c>
      <c r="G17" s="1534">
        <f>P2E!G17</f>
        <v>35.362298400000007</v>
      </c>
      <c r="H17" s="1535">
        <f>P2E!H17</f>
        <v>35.362298400000007</v>
      </c>
    </row>
    <row r="18" spans="1:8">
      <c r="A18" s="1419" t="s">
        <v>965</v>
      </c>
      <c r="B18" s="1401" t="s">
        <v>1476</v>
      </c>
      <c r="C18" s="1534">
        <f>P2E!C18</f>
        <v>0</v>
      </c>
      <c r="D18" s="1534">
        <f>P2E!D18</f>
        <v>0</v>
      </c>
      <c r="E18" s="1534">
        <f>P2E!E18</f>
        <v>0</v>
      </c>
      <c r="F18" s="1534">
        <f>P2E!F18</f>
        <v>0</v>
      </c>
      <c r="G18" s="1534">
        <f>P2E!G18</f>
        <v>113.33986994000003</v>
      </c>
      <c r="H18" s="1535">
        <f>P2E!H18</f>
        <v>113.33986994000003</v>
      </c>
    </row>
    <row r="19" spans="1:8">
      <c r="A19" s="1419" t="s">
        <v>965</v>
      </c>
      <c r="B19" s="1401" t="s">
        <v>1480</v>
      </c>
      <c r="C19" s="1534">
        <f>P2E!C19</f>
        <v>0</v>
      </c>
      <c r="D19" s="1534">
        <f>P2E!D19</f>
        <v>0</v>
      </c>
      <c r="E19" s="1534">
        <f>P2E!E19</f>
        <v>0</v>
      </c>
      <c r="F19" s="1534">
        <f>P2E!F19</f>
        <v>24.015968680000004</v>
      </c>
      <c r="G19" s="1534">
        <f>P2E!G19</f>
        <v>0</v>
      </c>
      <c r="H19" s="1535">
        <f>P2E!H19</f>
        <v>24.015968680000004</v>
      </c>
    </row>
    <row r="20" spans="1:8">
      <c r="A20" s="1419" t="s">
        <v>965</v>
      </c>
      <c r="B20" s="1401" t="s">
        <v>1430</v>
      </c>
      <c r="C20" s="1534">
        <f>P2E!C20</f>
        <v>0</v>
      </c>
      <c r="D20" s="1534">
        <f>P2E!D20</f>
        <v>0</v>
      </c>
      <c r="E20" s="1534">
        <f>P2E!E20</f>
        <v>0.33586212000000004</v>
      </c>
      <c r="F20" s="1534">
        <f>P2E!F20</f>
        <v>0</v>
      </c>
      <c r="G20" s="1534">
        <f>P2E!G20</f>
        <v>88.402016780000011</v>
      </c>
      <c r="H20" s="1535">
        <f>P2E!H20</f>
        <v>88.737878900000027</v>
      </c>
    </row>
    <row r="21" spans="1:8">
      <c r="A21" s="1419" t="s">
        <v>965</v>
      </c>
      <c r="B21" s="1401" t="s">
        <v>1431</v>
      </c>
      <c r="C21" s="1534">
        <f>P2E!C21</f>
        <v>0</v>
      </c>
      <c r="D21" s="1534">
        <f>P2E!D21</f>
        <v>0</v>
      </c>
      <c r="E21" s="1534">
        <f>P2E!E21</f>
        <v>2.8782705600000007</v>
      </c>
      <c r="F21" s="1534">
        <f>P2E!F21</f>
        <v>0</v>
      </c>
      <c r="G21" s="1534">
        <f>P2E!G21</f>
        <v>0</v>
      </c>
      <c r="H21" s="1535">
        <f>P2E!H21</f>
        <v>2.8782705600000007</v>
      </c>
    </row>
    <row r="22" spans="1:8">
      <c r="A22" s="1419" t="s">
        <v>965</v>
      </c>
      <c r="B22" s="1401" t="s">
        <v>1432</v>
      </c>
      <c r="C22" s="1534">
        <f>P2E!C22</f>
        <v>0</v>
      </c>
      <c r="D22" s="1534">
        <f>P2E!D22</f>
        <v>0</v>
      </c>
      <c r="E22" s="1534">
        <f>P2E!E22</f>
        <v>0.30583233999999998</v>
      </c>
      <c r="F22" s="1534">
        <f>P2E!F22</f>
        <v>0</v>
      </c>
      <c r="G22" s="1534">
        <f>P2E!G22</f>
        <v>0</v>
      </c>
      <c r="H22" s="1535">
        <f>P2E!H22</f>
        <v>0.30583233999999998</v>
      </c>
    </row>
    <row r="23" spans="1:8">
      <c r="A23" s="1419" t="s">
        <v>965</v>
      </c>
      <c r="B23" s="1401" t="s">
        <v>1433</v>
      </c>
      <c r="C23" s="1534">
        <f>P2E!C23</f>
        <v>0</v>
      </c>
      <c r="D23" s="1534">
        <f>P2E!D23</f>
        <v>0</v>
      </c>
      <c r="E23" s="1534">
        <f>P2E!E23</f>
        <v>0</v>
      </c>
      <c r="F23" s="1534">
        <f>P2E!F23</f>
        <v>0</v>
      </c>
      <c r="G23" s="1534">
        <f>P2E!G23</f>
        <v>78.755633000000003</v>
      </c>
      <c r="H23" s="1535">
        <f>P2E!H23</f>
        <v>78.755633000000003</v>
      </c>
    </row>
    <row r="24" spans="1:8">
      <c r="A24" s="1419" t="s">
        <v>965</v>
      </c>
      <c r="B24" s="1401" t="s">
        <v>1434</v>
      </c>
      <c r="C24" s="1534">
        <f>P2E!C24</f>
        <v>0</v>
      </c>
      <c r="D24" s="1534">
        <f>P2E!D24</f>
        <v>0</v>
      </c>
      <c r="E24" s="1534">
        <f>P2E!E24</f>
        <v>0</v>
      </c>
      <c r="F24" s="1534">
        <f>P2E!F24</f>
        <v>37.602831200000004</v>
      </c>
      <c r="G24" s="1534">
        <f>P2E!G24</f>
        <v>0</v>
      </c>
      <c r="H24" s="1535">
        <f>P2E!H24</f>
        <v>37.602831200000004</v>
      </c>
    </row>
    <row r="25" spans="1:8">
      <c r="A25" s="1419" t="s">
        <v>965</v>
      </c>
      <c r="B25" s="1401" t="s">
        <v>1435</v>
      </c>
      <c r="C25" s="1534">
        <f>P2E!C25</f>
        <v>0</v>
      </c>
      <c r="D25" s="1534">
        <f>P2E!D25</f>
        <v>0</v>
      </c>
      <c r="E25" s="1534">
        <f>P2E!E25</f>
        <v>62.180297960000004</v>
      </c>
      <c r="F25" s="1534">
        <f>P2E!F25</f>
        <v>0</v>
      </c>
      <c r="G25" s="1534">
        <f>P2E!G25</f>
        <v>46.180618000000003</v>
      </c>
      <c r="H25" s="1535">
        <f>P2E!H25</f>
        <v>108.36091596000001</v>
      </c>
    </row>
    <row r="26" spans="1:8">
      <c r="A26" s="1419" t="s">
        <v>965</v>
      </c>
      <c r="B26" s="1401" t="s">
        <v>1436</v>
      </c>
      <c r="C26" s="1534">
        <f>P2E!C26</f>
        <v>0</v>
      </c>
      <c r="D26" s="1534">
        <f>P2E!D26</f>
        <v>0</v>
      </c>
      <c r="E26" s="1534">
        <f>P2E!E26</f>
        <v>0</v>
      </c>
      <c r="F26" s="1534">
        <f>P2E!F26</f>
        <v>0</v>
      </c>
      <c r="G26" s="1534">
        <f>P2E!G26</f>
        <v>53.121662000000015</v>
      </c>
      <c r="H26" s="1535">
        <f>P2E!H26</f>
        <v>53.121662000000015</v>
      </c>
    </row>
    <row r="27" spans="1:8">
      <c r="A27" s="1419" t="s">
        <v>965</v>
      </c>
      <c r="B27" s="1401" t="s">
        <v>1506</v>
      </c>
      <c r="C27" s="1534">
        <f>P2E!C27</f>
        <v>0</v>
      </c>
      <c r="D27" s="1534">
        <f>P2E!D27</f>
        <v>16.666646480000004</v>
      </c>
      <c r="E27" s="1534">
        <f>P2E!E27</f>
        <v>0</v>
      </c>
      <c r="F27" s="1534">
        <f>P2E!F27</f>
        <v>0</v>
      </c>
      <c r="G27" s="1534">
        <f>P2E!G27</f>
        <v>0</v>
      </c>
      <c r="H27" s="1535">
        <f>P2E!H27</f>
        <v>16.666646480000004</v>
      </c>
    </row>
    <row r="28" spans="1:8">
      <c r="A28" s="1419" t="s">
        <v>965</v>
      </c>
      <c r="B28" s="1401" t="s">
        <v>1438</v>
      </c>
      <c r="C28" s="1534">
        <f>P2E!C28</f>
        <v>0</v>
      </c>
      <c r="D28" s="1534">
        <f>P2E!D28</f>
        <v>0</v>
      </c>
      <c r="E28" s="1534">
        <f>P2E!E28</f>
        <v>0</v>
      </c>
      <c r="F28" s="1534">
        <f>P2E!F28</f>
        <v>0</v>
      </c>
      <c r="G28" s="1534">
        <f>P2E!G28</f>
        <v>44.524183660000006</v>
      </c>
      <c r="H28" s="1535">
        <f>P2E!H28</f>
        <v>44.524183660000006</v>
      </c>
    </row>
    <row r="29" spans="1:8">
      <c r="A29" s="1419" t="s">
        <v>965</v>
      </c>
      <c r="B29" s="1401" t="s">
        <v>1439</v>
      </c>
      <c r="C29" s="1534">
        <f>P2E!C29</f>
        <v>0</v>
      </c>
      <c r="D29" s="1534">
        <f>P2E!D29</f>
        <v>0</v>
      </c>
      <c r="E29" s="1534">
        <f>P2E!E29</f>
        <v>0</v>
      </c>
      <c r="F29" s="1534">
        <f>P2E!F29</f>
        <v>0</v>
      </c>
      <c r="G29" s="1534">
        <f>P2E!G29</f>
        <v>51.191349000000002</v>
      </c>
      <c r="H29" s="1535">
        <f>P2E!H29</f>
        <v>51.191349000000002</v>
      </c>
    </row>
    <row r="30" spans="1:8">
      <c r="A30" s="1419" t="s">
        <v>965</v>
      </c>
      <c r="B30" s="1401" t="s">
        <v>1440</v>
      </c>
      <c r="C30" s="1534">
        <f>P2E!C30</f>
        <v>0</v>
      </c>
      <c r="D30" s="1534">
        <f>P2E!D30</f>
        <v>0</v>
      </c>
      <c r="E30" s="1534">
        <f>P2E!E30</f>
        <v>0</v>
      </c>
      <c r="F30" s="1534">
        <f>P2E!F30</f>
        <v>0</v>
      </c>
      <c r="G30" s="1534">
        <f>P2E!G30</f>
        <v>45.643257000000006</v>
      </c>
      <c r="H30" s="1535">
        <f>P2E!H30</f>
        <v>45.643257000000006</v>
      </c>
    </row>
    <row r="31" spans="1:8">
      <c r="A31" s="1419" t="s">
        <v>965</v>
      </c>
      <c r="B31" s="1401" t="s">
        <v>1441</v>
      </c>
      <c r="C31" s="1534">
        <f>P2E!C31</f>
        <v>434.67130806000006</v>
      </c>
      <c r="D31" s="1534">
        <f>P2E!D31</f>
        <v>0</v>
      </c>
      <c r="E31" s="1534">
        <f>P2E!E31</f>
        <v>0</v>
      </c>
      <c r="F31" s="1534">
        <f>P2E!F31</f>
        <v>0</v>
      </c>
      <c r="G31" s="1534">
        <f>P2E!G31</f>
        <v>0</v>
      </c>
      <c r="H31" s="1535">
        <f>P2E!H31</f>
        <v>434.67130806000006</v>
      </c>
    </row>
    <row r="32" spans="1:8">
      <c r="A32" s="1419" t="s">
        <v>965</v>
      </c>
      <c r="B32" s="1401" t="s">
        <v>1444</v>
      </c>
      <c r="C32" s="1534">
        <f>P2E!C32</f>
        <v>0.85382198000000009</v>
      </c>
      <c r="D32" s="1534">
        <f>P2E!D32</f>
        <v>15.047337360000002</v>
      </c>
      <c r="E32" s="1534">
        <f>P2E!E32</f>
        <v>0</v>
      </c>
      <c r="F32" s="1534">
        <f>P2E!F32</f>
        <v>0</v>
      </c>
      <c r="G32" s="1534">
        <f>P2E!G32</f>
        <v>0</v>
      </c>
      <c r="H32" s="1535">
        <f>P2E!H32</f>
        <v>15.901159340000001</v>
      </c>
    </row>
    <row r="33" spans="1:8">
      <c r="A33" s="1419" t="s">
        <v>965</v>
      </c>
      <c r="B33" s="1401" t="s">
        <v>1525</v>
      </c>
      <c r="C33" s="1534">
        <f>P2E!C33</f>
        <v>1.0709734200000003</v>
      </c>
      <c r="D33" s="1534">
        <f>P2E!D33</f>
        <v>0</v>
      </c>
      <c r="E33" s="1534">
        <f>P2E!E33</f>
        <v>0</v>
      </c>
      <c r="F33" s="1534">
        <f>P2E!F33</f>
        <v>0</v>
      </c>
      <c r="G33" s="1534">
        <f>P2E!G33</f>
        <v>0</v>
      </c>
      <c r="H33" s="1535">
        <f>P2E!H33</f>
        <v>1.0709734200000003</v>
      </c>
    </row>
    <row r="34" spans="1:8">
      <c r="A34" s="1419" t="s">
        <v>965</v>
      </c>
      <c r="B34" s="1401" t="s">
        <v>1528</v>
      </c>
      <c r="C34" s="1534">
        <f>P2E!C34</f>
        <v>0</v>
      </c>
      <c r="D34" s="1534">
        <f>P2E!D34</f>
        <v>20.975103160000007</v>
      </c>
      <c r="E34" s="1534">
        <f>P2E!E34</f>
        <v>0</v>
      </c>
      <c r="F34" s="1534">
        <f>P2E!F34</f>
        <v>0</v>
      </c>
      <c r="G34" s="1534">
        <f>P2E!G34</f>
        <v>0</v>
      </c>
      <c r="H34" s="1535">
        <f>P2E!H34</f>
        <v>20.975103160000007</v>
      </c>
    </row>
    <row r="35" spans="1:8">
      <c r="A35" s="1419" t="s">
        <v>965</v>
      </c>
      <c r="B35" s="1401" t="s">
        <v>1445</v>
      </c>
      <c r="C35" s="1534">
        <f>P2E!C35</f>
        <v>254.84700560000005</v>
      </c>
      <c r="D35" s="1534">
        <f>P2E!D35</f>
        <v>0</v>
      </c>
      <c r="E35" s="1534">
        <f>P2E!E35</f>
        <v>0</v>
      </c>
      <c r="F35" s="1534">
        <f>P2E!F35</f>
        <v>0</v>
      </c>
      <c r="G35" s="1534">
        <f>P2E!G35</f>
        <v>0</v>
      </c>
      <c r="H35" s="1535">
        <f>P2E!H35</f>
        <v>254.84700560000005</v>
      </c>
    </row>
    <row r="36" spans="1:8">
      <c r="A36" s="1419" t="s">
        <v>965</v>
      </c>
      <c r="B36" s="1401" t="s">
        <v>1446</v>
      </c>
      <c r="C36" s="1534">
        <f>P2E!C36</f>
        <v>1.1228267600000001</v>
      </c>
      <c r="D36" s="1534">
        <f>P2E!D36</f>
        <v>0</v>
      </c>
      <c r="E36" s="1534">
        <f>P2E!E36</f>
        <v>0</v>
      </c>
      <c r="F36" s="1534">
        <f>P2E!F36</f>
        <v>0</v>
      </c>
      <c r="G36" s="1534">
        <f>P2E!G36</f>
        <v>0</v>
      </c>
      <c r="H36" s="1535">
        <f>P2E!H36</f>
        <v>1.1228267600000001</v>
      </c>
    </row>
    <row r="37" spans="1:8">
      <c r="A37" s="1419" t="s">
        <v>965</v>
      </c>
      <c r="B37" s="1401" t="s">
        <v>1532</v>
      </c>
      <c r="C37" s="1534">
        <f>P2E!C37</f>
        <v>1.4672508400000004</v>
      </c>
      <c r="D37" s="1534">
        <f>P2E!D37</f>
        <v>0</v>
      </c>
      <c r="E37" s="1534">
        <f>P2E!E37</f>
        <v>0</v>
      </c>
      <c r="F37" s="1534">
        <f>P2E!F37</f>
        <v>0</v>
      </c>
      <c r="G37" s="1534">
        <f>P2E!G37</f>
        <v>0</v>
      </c>
      <c r="H37" s="1535">
        <f>P2E!H37</f>
        <v>1.4672508400000004</v>
      </c>
    </row>
    <row r="38" spans="1:8">
      <c r="A38" s="1419" t="s">
        <v>965</v>
      </c>
      <c r="B38" s="1401" t="s">
        <v>1447</v>
      </c>
      <c r="C38" s="1534">
        <f>P2E!C38</f>
        <v>0</v>
      </c>
      <c r="D38" s="1534">
        <f>P2E!D38</f>
        <v>11.788812200000002</v>
      </c>
      <c r="E38" s="1534">
        <f>P2E!E38</f>
        <v>0</v>
      </c>
      <c r="F38" s="1534">
        <f>P2E!F38</f>
        <v>0</v>
      </c>
      <c r="G38" s="1534">
        <f>P2E!G38</f>
        <v>0</v>
      </c>
      <c r="H38" s="1535">
        <f>P2E!H38</f>
        <v>11.788812200000002</v>
      </c>
    </row>
    <row r="39" spans="1:8">
      <c r="A39" s="1419" t="s">
        <v>965</v>
      </c>
      <c r="B39" s="1401" t="s">
        <v>1448</v>
      </c>
      <c r="C39" s="1534">
        <f>P2E!C39</f>
        <v>0</v>
      </c>
      <c r="D39" s="1534">
        <f>P2E!D39</f>
        <v>0</v>
      </c>
      <c r="E39" s="1534">
        <f>P2E!E39</f>
        <v>0</v>
      </c>
      <c r="F39" s="1534">
        <f>P2E!F39</f>
        <v>0</v>
      </c>
      <c r="G39" s="1534">
        <f>P2E!G39</f>
        <v>31.835521080000007</v>
      </c>
      <c r="H39" s="1535">
        <f>P2E!H39</f>
        <v>31.835521080000007</v>
      </c>
    </row>
    <row r="40" spans="1:8">
      <c r="A40" s="1419" t="s">
        <v>965</v>
      </c>
      <c r="B40" s="1401" t="s">
        <v>1449</v>
      </c>
      <c r="C40" s="1534">
        <f>P2E!C40</f>
        <v>0</v>
      </c>
      <c r="D40" s="1534">
        <f>P2E!D40</f>
        <v>41.021432100000006</v>
      </c>
      <c r="E40" s="1534">
        <f>P2E!E40</f>
        <v>0</v>
      </c>
      <c r="F40" s="1534">
        <f>P2E!F40</f>
        <v>0</v>
      </c>
      <c r="G40" s="1534">
        <f>P2E!G40</f>
        <v>0</v>
      </c>
      <c r="H40" s="1535">
        <f>P2E!H40</f>
        <v>41.021432100000006</v>
      </c>
    </row>
    <row r="41" spans="1:8">
      <c r="A41" s="1419" t="s">
        <v>965</v>
      </c>
      <c r="B41" s="1401" t="s">
        <v>1698</v>
      </c>
      <c r="C41" s="1534">
        <f>P2E!C41</f>
        <v>3.5338993800000003</v>
      </c>
      <c r="D41" s="1534">
        <f>P2E!D41</f>
        <v>0</v>
      </c>
      <c r="E41" s="1534">
        <f>P2E!E41</f>
        <v>0</v>
      </c>
      <c r="F41" s="1534">
        <f>P2E!F41</f>
        <v>0</v>
      </c>
      <c r="G41" s="1534">
        <f>P2E!G41</f>
        <v>0</v>
      </c>
      <c r="H41" s="1535">
        <f>P2E!H41</f>
        <v>3.5338993800000003</v>
      </c>
    </row>
    <row r="42" spans="1:8">
      <c r="A42" s="1419" t="s">
        <v>965</v>
      </c>
      <c r="B42" s="1401" t="s">
        <v>1699</v>
      </c>
      <c r="C42" s="1534">
        <f>P2E!C42</f>
        <v>8.8418789800000024</v>
      </c>
      <c r="D42" s="1534">
        <f>P2E!D42</f>
        <v>9.412955420000003</v>
      </c>
      <c r="E42" s="1534">
        <f>P2E!E42</f>
        <v>0</v>
      </c>
      <c r="F42" s="1534">
        <f>P2E!F42</f>
        <v>0</v>
      </c>
      <c r="G42" s="1534">
        <f>P2E!G42</f>
        <v>0</v>
      </c>
      <c r="H42" s="1535">
        <f>P2E!H42</f>
        <v>18.2548344</v>
      </c>
    </row>
    <row r="43" spans="1:8">
      <c r="A43" s="1419" t="s">
        <v>965</v>
      </c>
      <c r="B43" s="1401" t="s">
        <v>1450</v>
      </c>
      <c r="C43" s="1534">
        <f>P2E!C43</f>
        <v>0</v>
      </c>
      <c r="D43" s="1534">
        <f>P2E!D43</f>
        <v>0</v>
      </c>
      <c r="E43" s="1534">
        <f>P2E!E43</f>
        <v>0</v>
      </c>
      <c r="F43" s="1534">
        <f>P2E!F43</f>
        <v>0</v>
      </c>
      <c r="G43" s="1534">
        <f>P2E!G43</f>
        <v>87.885634760000002</v>
      </c>
      <c r="H43" s="1535">
        <f>P2E!H43</f>
        <v>87.885634760000002</v>
      </c>
    </row>
    <row r="44" spans="1:8">
      <c r="A44" s="1419" t="s">
        <v>965</v>
      </c>
      <c r="B44" s="1401" t="s">
        <v>1700</v>
      </c>
      <c r="C44" s="1534">
        <f>P2E!C44</f>
        <v>128.45036688000002</v>
      </c>
      <c r="D44" s="1534">
        <f>P2E!D44</f>
        <v>0</v>
      </c>
      <c r="E44" s="1534">
        <f>P2E!E44</f>
        <v>0</v>
      </c>
      <c r="F44" s="1534">
        <f>P2E!F44</f>
        <v>0</v>
      </c>
      <c r="G44" s="1534">
        <f>P2E!G44</f>
        <v>0</v>
      </c>
      <c r="H44" s="1535">
        <f>P2E!H44</f>
        <v>128.45036688000002</v>
      </c>
    </row>
    <row r="45" spans="1:8">
      <c r="A45" s="1419" t="s">
        <v>965</v>
      </c>
      <c r="B45" s="1401" t="s">
        <v>1451</v>
      </c>
      <c r="C45" s="1534">
        <f>P2E!C45</f>
        <v>1.9613688600000003</v>
      </c>
      <c r="D45" s="1534">
        <f>P2E!D45</f>
        <v>0</v>
      </c>
      <c r="E45" s="1534">
        <f>P2E!E45</f>
        <v>0</v>
      </c>
      <c r="F45" s="1534">
        <f>P2E!F45</f>
        <v>0</v>
      </c>
      <c r="G45" s="1534">
        <f>P2E!G45</f>
        <v>0</v>
      </c>
      <c r="H45" s="1535">
        <f>P2E!H45</f>
        <v>1.9613688600000003</v>
      </c>
    </row>
    <row r="46" spans="1:8">
      <c r="A46" s="1419" t="s">
        <v>965</v>
      </c>
      <c r="B46" s="1401" t="s">
        <v>1452</v>
      </c>
      <c r="C46" s="1534">
        <f>P2E!C46</f>
        <v>0</v>
      </c>
      <c r="D46" s="1534">
        <f>P2E!D46</f>
        <v>0</v>
      </c>
      <c r="E46" s="1534">
        <f>P2E!E46</f>
        <v>0</v>
      </c>
      <c r="F46" s="1534">
        <f>P2E!F46</f>
        <v>0</v>
      </c>
      <c r="G46" s="1534">
        <f>P2E!G46</f>
        <v>16.160798720000003</v>
      </c>
      <c r="H46" s="1535">
        <f>P2E!H46</f>
        <v>16.160798720000003</v>
      </c>
    </row>
    <row r="47" spans="1:8">
      <c r="A47" s="1419" t="s">
        <v>965</v>
      </c>
      <c r="B47" s="1401" t="s">
        <v>1453</v>
      </c>
      <c r="C47" s="1534">
        <f>P2E!C47</f>
        <v>0</v>
      </c>
      <c r="D47" s="1534">
        <f>P2E!D47</f>
        <v>0</v>
      </c>
      <c r="E47" s="1534">
        <f>P2E!E47</f>
        <v>0</v>
      </c>
      <c r="F47" s="1534">
        <f>P2E!F47</f>
        <v>0</v>
      </c>
      <c r="G47" s="1534">
        <f>P2E!G47</f>
        <v>20.589742360000002</v>
      </c>
      <c r="H47" s="1535">
        <f>P2E!H47</f>
        <v>20.589742360000002</v>
      </c>
    </row>
    <row r="48" spans="1:8">
      <c r="A48" s="1419" t="s">
        <v>965</v>
      </c>
      <c r="B48" s="1401" t="s">
        <v>1426</v>
      </c>
      <c r="C48" s="1534">
        <f>P2E!C48</f>
        <v>0</v>
      </c>
      <c r="D48" s="1534">
        <f>P2E!D48</f>
        <v>0</v>
      </c>
      <c r="E48" s="1534">
        <f>P2E!E48</f>
        <v>0</v>
      </c>
      <c r="F48" s="1534">
        <f>P2E!F48</f>
        <v>0</v>
      </c>
      <c r="G48" s="1534">
        <f>P2E!G48</f>
        <v>39.93104060000001</v>
      </c>
      <c r="H48" s="1535">
        <f>P2E!H48</f>
        <v>39.93104060000001</v>
      </c>
    </row>
    <row r="49" spans="1:8">
      <c r="A49" s="1419" t="s">
        <v>965</v>
      </c>
      <c r="B49" s="1401" t="s">
        <v>1442</v>
      </c>
      <c r="C49" s="1534">
        <f>P2E!C49</f>
        <v>0</v>
      </c>
      <c r="D49" s="1534">
        <f>P2E!D49</f>
        <v>0</v>
      </c>
      <c r="E49" s="1534">
        <f>P2E!E49</f>
        <v>0</v>
      </c>
      <c r="F49" s="1534">
        <f>P2E!F49</f>
        <v>0</v>
      </c>
      <c r="G49" s="1534">
        <f>P2E!G49</f>
        <v>42.630548180000005</v>
      </c>
      <c r="H49" s="1535">
        <f>P2E!H49</f>
        <v>42.630548180000005</v>
      </c>
    </row>
    <row r="50" spans="1:8">
      <c r="A50" s="1419" t="s">
        <v>965</v>
      </c>
      <c r="B50" s="1401" t="s">
        <v>1429</v>
      </c>
      <c r="C50" s="1534">
        <f>P2E!C50</f>
        <v>0</v>
      </c>
      <c r="D50" s="1534">
        <f>P2E!D50</f>
        <v>0</v>
      </c>
      <c r="E50" s="1534">
        <f>P2E!E50</f>
        <v>0</v>
      </c>
      <c r="F50" s="1534">
        <f>P2E!F50</f>
        <v>0</v>
      </c>
      <c r="G50" s="1534">
        <f>P2E!G50</f>
        <v>75.135676000000004</v>
      </c>
      <c r="H50" s="1535">
        <f>P2E!H50</f>
        <v>75.135676000000004</v>
      </c>
    </row>
    <row r="51" spans="1:8">
      <c r="A51" s="1419" t="s">
        <v>965</v>
      </c>
      <c r="B51" s="1401" t="s">
        <v>1484</v>
      </c>
      <c r="C51" s="1534">
        <f>P2E!C51</f>
        <v>0</v>
      </c>
      <c r="D51" s="1534">
        <f>P2E!D51</f>
        <v>0</v>
      </c>
      <c r="E51" s="1534">
        <f>P2E!E51</f>
        <v>0</v>
      </c>
      <c r="F51" s="1534">
        <f>P2E!F51</f>
        <v>0</v>
      </c>
      <c r="G51" s="1534">
        <f>P2E!G51</f>
        <v>0</v>
      </c>
      <c r="H51" s="1535">
        <f>P2E!H51</f>
        <v>0</v>
      </c>
    </row>
    <row r="52" spans="1:8">
      <c r="A52" s="1419" t="s">
        <v>965</v>
      </c>
      <c r="B52" s="1401" t="s">
        <v>1443</v>
      </c>
      <c r="C52" s="1534">
        <f>P2E!C52</f>
        <v>0</v>
      </c>
      <c r="D52" s="1534">
        <f>P2E!D52</f>
        <v>0</v>
      </c>
      <c r="E52" s="1534">
        <f>P2E!E52</f>
        <v>0</v>
      </c>
      <c r="F52" s="1534">
        <f>P2E!F52</f>
        <v>0</v>
      </c>
      <c r="G52" s="1534">
        <f>P2E!G52</f>
        <v>43.792223200000009</v>
      </c>
      <c r="H52" s="1535">
        <f>P2E!H52</f>
        <v>43.792223200000009</v>
      </c>
    </row>
    <row r="53" spans="1:8" ht="15.75" thickBot="1">
      <c r="A53" s="1419" t="s">
        <v>965</v>
      </c>
      <c r="B53" s="1401" t="s">
        <v>1701</v>
      </c>
      <c r="C53" s="1534">
        <f>P2E!C53</f>
        <v>58.041173520000001</v>
      </c>
      <c r="D53" s="1534">
        <f>P2E!D53</f>
        <v>0</v>
      </c>
      <c r="E53" s="1534">
        <f>P2E!E53</f>
        <v>0</v>
      </c>
      <c r="F53" s="1534">
        <f>P2E!F53</f>
        <v>0</v>
      </c>
      <c r="G53" s="1534">
        <f>P2E!G53</f>
        <v>0</v>
      </c>
      <c r="H53" s="1535">
        <f>P2E!H53</f>
        <v>58.041173520000001</v>
      </c>
    </row>
    <row r="54" spans="1:8" ht="15.75" thickBot="1">
      <c r="A54" s="1417"/>
      <c r="B54" s="1412"/>
      <c r="C54" s="1534"/>
      <c r="D54" s="1534"/>
      <c r="E54" s="1534"/>
      <c r="F54" s="1534"/>
      <c r="G54" s="1534"/>
      <c r="H54" s="1535"/>
    </row>
    <row r="55" spans="1:8">
      <c r="A55" s="1418" t="s">
        <v>1106</v>
      </c>
      <c r="B55" s="1401" t="s">
        <v>1421</v>
      </c>
      <c r="C55" s="1534">
        <f>P2E!C55</f>
        <v>0</v>
      </c>
      <c r="D55" s="1534">
        <f>P2E!D55</f>
        <v>0</v>
      </c>
      <c r="E55" s="1534">
        <f>P2E!E55</f>
        <v>636.89632842000015</v>
      </c>
      <c r="F55" s="1534">
        <f>P2E!F55</f>
        <v>0</v>
      </c>
      <c r="G55" s="1534">
        <f>P2E!G55</f>
        <v>0</v>
      </c>
      <c r="H55" s="1535">
        <f>P2E!H55</f>
        <v>636.89632842000015</v>
      </c>
    </row>
    <row r="56" spans="1:8">
      <c r="A56" s="1419" t="s">
        <v>1106</v>
      </c>
      <c r="B56" s="1401" t="s">
        <v>1454</v>
      </c>
      <c r="C56" s="1534">
        <f>P2E!C56</f>
        <v>0</v>
      </c>
      <c r="D56" s="1534">
        <f>P2E!D56</f>
        <v>0</v>
      </c>
      <c r="E56" s="1534">
        <f>P2E!E56</f>
        <v>412.60946518000003</v>
      </c>
      <c r="F56" s="1534">
        <f>P2E!F56</f>
        <v>0</v>
      </c>
      <c r="G56" s="1534">
        <f>P2E!G56</f>
        <v>0</v>
      </c>
      <c r="H56" s="1535">
        <f>P2E!H56</f>
        <v>412.60946518000003</v>
      </c>
    </row>
    <row r="57" spans="1:8">
      <c r="A57" s="1419" t="s">
        <v>1106</v>
      </c>
      <c r="B57" s="1401" t="s">
        <v>1420</v>
      </c>
      <c r="C57" s="1534">
        <f>P2E!C57</f>
        <v>0</v>
      </c>
      <c r="D57" s="1534">
        <f>P2E!D57</f>
        <v>0</v>
      </c>
      <c r="E57" s="1534">
        <f>P2E!E57</f>
        <v>475.06252618000002</v>
      </c>
      <c r="F57" s="1534">
        <f>P2E!F57</f>
        <v>0</v>
      </c>
      <c r="G57" s="1534">
        <f>P2E!G57</f>
        <v>0</v>
      </c>
      <c r="H57" s="1535">
        <f>P2E!H57</f>
        <v>475.06252618000002</v>
      </c>
    </row>
    <row r="58" spans="1:8">
      <c r="A58" s="1419" t="s">
        <v>1106</v>
      </c>
      <c r="B58" s="1401" t="s">
        <v>1422</v>
      </c>
      <c r="C58" s="1534">
        <f>P2E!C58</f>
        <v>0</v>
      </c>
      <c r="D58" s="1534">
        <f>P2E!D58</f>
        <v>0</v>
      </c>
      <c r="E58" s="1534">
        <f>P2E!E58</f>
        <v>146.70590792000002</v>
      </c>
      <c r="F58" s="1534">
        <f>P2E!F58</f>
        <v>0</v>
      </c>
      <c r="G58" s="1534">
        <f>P2E!G58</f>
        <v>0</v>
      </c>
      <c r="H58" s="1535">
        <f>P2E!H58</f>
        <v>146.70590792000002</v>
      </c>
    </row>
    <row r="59" spans="1:8">
      <c r="A59" s="1419" t="s">
        <v>1106</v>
      </c>
      <c r="B59" s="1401" t="s">
        <v>1457</v>
      </c>
      <c r="C59" s="1534">
        <f>P2E!C59</f>
        <v>0</v>
      </c>
      <c r="D59" s="1534">
        <f>P2E!D59</f>
        <v>0</v>
      </c>
      <c r="E59" s="1534">
        <f>P2E!E59</f>
        <v>241.41151650000003</v>
      </c>
      <c r="F59" s="1534">
        <f>P2E!F59</f>
        <v>0</v>
      </c>
      <c r="G59" s="1534">
        <f>P2E!G59</f>
        <v>0</v>
      </c>
      <c r="H59" s="1535">
        <f>P2E!H59</f>
        <v>241.41151650000003</v>
      </c>
    </row>
    <row r="60" spans="1:8">
      <c r="A60" s="1419" t="s">
        <v>1106</v>
      </c>
      <c r="B60" s="1401" t="s">
        <v>1458</v>
      </c>
      <c r="C60" s="1534">
        <f>P2E!C60</f>
        <v>0</v>
      </c>
      <c r="D60" s="1534">
        <f>P2E!D60</f>
        <v>0</v>
      </c>
      <c r="E60" s="1534">
        <f>P2E!E60</f>
        <v>624.91017490000013</v>
      </c>
      <c r="F60" s="1534">
        <f>P2E!F60</f>
        <v>0</v>
      </c>
      <c r="G60" s="1534">
        <f>P2E!G60</f>
        <v>0</v>
      </c>
      <c r="H60" s="1535">
        <f>P2E!H60</f>
        <v>624.91017490000013</v>
      </c>
    </row>
    <row r="61" spans="1:8">
      <c r="A61" s="1419" t="s">
        <v>1106</v>
      </c>
      <c r="B61" s="1401" t="s">
        <v>1459</v>
      </c>
      <c r="C61" s="1534">
        <f>P2E!C61</f>
        <v>0</v>
      </c>
      <c r="D61" s="1534">
        <f>P2E!D61</f>
        <v>0</v>
      </c>
      <c r="E61" s="1534">
        <f>P2E!E61</f>
        <v>181.90764900000005</v>
      </c>
      <c r="F61" s="1534">
        <f>P2E!F61</f>
        <v>0</v>
      </c>
      <c r="G61" s="1534">
        <f>P2E!G61</f>
        <v>0</v>
      </c>
      <c r="H61" s="1535">
        <f>P2E!H61</f>
        <v>181.90764900000005</v>
      </c>
    </row>
    <row r="62" spans="1:8">
      <c r="A62" s="1419" t="s">
        <v>1106</v>
      </c>
      <c r="B62" s="1401" t="s">
        <v>1460</v>
      </c>
      <c r="C62" s="1534">
        <f>P2E!C62</f>
        <v>0</v>
      </c>
      <c r="D62" s="1534">
        <f>P2E!D62</f>
        <v>0</v>
      </c>
      <c r="E62" s="1534">
        <f>P2E!E62</f>
        <v>506.09536714000001</v>
      </c>
      <c r="F62" s="1534">
        <f>P2E!F62</f>
        <v>0</v>
      </c>
      <c r="G62" s="1534">
        <f>P2E!G62</f>
        <v>0</v>
      </c>
      <c r="H62" s="1535">
        <f>P2E!H62</f>
        <v>506.09536714000001</v>
      </c>
    </row>
    <row r="63" spans="1:8">
      <c r="A63" s="1419" t="s">
        <v>1106</v>
      </c>
      <c r="B63" s="1401" t="s">
        <v>1461</v>
      </c>
      <c r="C63" s="1534">
        <f>P2E!C63</f>
        <v>0</v>
      </c>
      <c r="D63" s="1534">
        <f>P2E!D63</f>
        <v>0</v>
      </c>
      <c r="E63" s="1534">
        <f>P2E!E63</f>
        <v>371.10239474000008</v>
      </c>
      <c r="F63" s="1534">
        <f>P2E!F63</f>
        <v>0</v>
      </c>
      <c r="G63" s="1534">
        <f>P2E!G63</f>
        <v>0</v>
      </c>
      <c r="H63" s="1535">
        <f>P2E!H63</f>
        <v>371.10239474000008</v>
      </c>
    </row>
    <row r="64" spans="1:8">
      <c r="A64" s="1419" t="s">
        <v>1106</v>
      </c>
      <c r="B64" s="1401" t="s">
        <v>1423</v>
      </c>
      <c r="C64" s="1534">
        <f>P2E!C64</f>
        <v>0</v>
      </c>
      <c r="D64" s="1534">
        <f>P2E!D64</f>
        <v>0</v>
      </c>
      <c r="E64" s="1534">
        <f>P2E!E64</f>
        <v>604.43394990000002</v>
      </c>
      <c r="F64" s="1534">
        <f>P2E!F64</f>
        <v>0</v>
      </c>
      <c r="G64" s="1534">
        <f>P2E!G64</f>
        <v>0</v>
      </c>
      <c r="H64" s="1535">
        <f>P2E!H64</f>
        <v>604.43394990000002</v>
      </c>
    </row>
    <row r="65" spans="1:8">
      <c r="A65" s="1419" t="s">
        <v>1106</v>
      </c>
      <c r="B65" s="1401" t="s">
        <v>1462</v>
      </c>
      <c r="C65" s="1534">
        <f>P2E!C65</f>
        <v>0</v>
      </c>
      <c r="D65" s="1534">
        <f>P2E!D65</f>
        <v>0</v>
      </c>
      <c r="E65" s="1534">
        <f>P2E!E65</f>
        <v>702.43998594000004</v>
      </c>
      <c r="F65" s="1534">
        <f>P2E!F65</f>
        <v>0</v>
      </c>
      <c r="G65" s="1534">
        <f>P2E!G65</f>
        <v>0</v>
      </c>
      <c r="H65" s="1535">
        <f>P2E!H65</f>
        <v>702.43998594000004</v>
      </c>
    </row>
    <row r="66" spans="1:8">
      <c r="A66" s="1419" t="s">
        <v>1106</v>
      </c>
      <c r="B66" s="1401" t="s">
        <v>1424</v>
      </c>
      <c r="C66" s="1534">
        <f>P2E!C66</f>
        <v>0</v>
      </c>
      <c r="D66" s="1534">
        <f>P2E!D66</f>
        <v>0</v>
      </c>
      <c r="E66" s="1534">
        <f>P2E!E66</f>
        <v>457.87220864000011</v>
      </c>
      <c r="F66" s="1534">
        <f>P2E!F66</f>
        <v>0</v>
      </c>
      <c r="G66" s="1534">
        <f>P2E!G66</f>
        <v>0</v>
      </c>
      <c r="H66" s="1535">
        <f>P2E!H66</f>
        <v>457.87220864000011</v>
      </c>
    </row>
    <row r="67" spans="1:8">
      <c r="A67" s="1419" t="s">
        <v>1106</v>
      </c>
      <c r="B67" s="1401" t="s">
        <v>1463</v>
      </c>
      <c r="C67" s="1534">
        <f>P2E!C67</f>
        <v>0</v>
      </c>
      <c r="D67" s="1534">
        <f>P2E!D67</f>
        <v>0</v>
      </c>
      <c r="E67" s="1534">
        <f>P2E!E67</f>
        <v>324.68677538000009</v>
      </c>
      <c r="F67" s="1534">
        <f>P2E!F67</f>
        <v>0</v>
      </c>
      <c r="G67" s="1534">
        <f>P2E!G67</f>
        <v>0</v>
      </c>
      <c r="H67" s="1535">
        <f>P2E!H67</f>
        <v>324.68677538000009</v>
      </c>
    </row>
    <row r="68" spans="1:8">
      <c r="A68" s="1419" t="s">
        <v>1106</v>
      </c>
      <c r="B68" s="1401" t="s">
        <v>1464</v>
      </c>
      <c r="C68" s="1534">
        <f>P2E!C68</f>
        <v>0</v>
      </c>
      <c r="D68" s="1534">
        <f>P2E!D68</f>
        <v>0</v>
      </c>
      <c r="E68" s="1534">
        <f>P2E!E68</f>
        <v>589.72817134000002</v>
      </c>
      <c r="F68" s="1534">
        <f>P2E!F68</f>
        <v>0</v>
      </c>
      <c r="G68" s="1534">
        <f>P2E!G68</f>
        <v>0</v>
      </c>
      <c r="H68" s="1535">
        <f>P2E!H68</f>
        <v>589.72817134000002</v>
      </c>
    </row>
    <row r="69" spans="1:8">
      <c r="A69" s="1419" t="s">
        <v>1106</v>
      </c>
      <c r="B69" s="1401" t="s">
        <v>1465</v>
      </c>
      <c r="C69" s="1534">
        <f>P2E!C69</f>
        <v>0</v>
      </c>
      <c r="D69" s="1534">
        <f>P2E!D69</f>
        <v>0</v>
      </c>
      <c r="E69" s="1534">
        <f>P2E!E69</f>
        <v>207.19125240000005</v>
      </c>
      <c r="F69" s="1534">
        <f>P2E!F69</f>
        <v>0</v>
      </c>
      <c r="G69" s="1534">
        <f>P2E!G69</f>
        <v>0</v>
      </c>
      <c r="H69" s="1535">
        <f>P2E!H69</f>
        <v>207.19125240000005</v>
      </c>
    </row>
    <row r="70" spans="1:8">
      <c r="A70" s="1419" t="s">
        <v>1106</v>
      </c>
      <c r="B70" s="1401" t="s">
        <v>1466</v>
      </c>
      <c r="C70" s="1534">
        <f>P2E!C70</f>
        <v>0</v>
      </c>
      <c r="D70" s="1534">
        <f>P2E!D70</f>
        <v>0</v>
      </c>
      <c r="E70" s="1534">
        <f>P2E!E70</f>
        <v>384.7622105800001</v>
      </c>
      <c r="F70" s="1534">
        <f>P2E!F70</f>
        <v>0</v>
      </c>
      <c r="G70" s="1534">
        <f>P2E!G70</f>
        <v>0</v>
      </c>
      <c r="H70" s="1535">
        <f>P2E!H70</f>
        <v>384.7622105800001</v>
      </c>
    </row>
    <row r="71" spans="1:8">
      <c r="A71" s="1419" t="s">
        <v>1106</v>
      </c>
      <c r="B71" s="1401" t="s">
        <v>1425</v>
      </c>
      <c r="C71" s="1534">
        <f>P2E!C71</f>
        <v>0</v>
      </c>
      <c r="D71" s="1534">
        <f>P2E!D71</f>
        <v>0</v>
      </c>
      <c r="E71" s="1534">
        <f>P2E!E71</f>
        <v>213.88420042000004</v>
      </c>
      <c r="F71" s="1534">
        <f>P2E!F71</f>
        <v>0</v>
      </c>
      <c r="G71" s="1534">
        <f>P2E!G71</f>
        <v>0</v>
      </c>
      <c r="H71" s="1535">
        <f>P2E!H71</f>
        <v>213.88420042000004</v>
      </c>
    </row>
    <row r="72" spans="1:8">
      <c r="A72" s="1419" t="s">
        <v>1106</v>
      </c>
      <c r="B72" s="1401" t="s">
        <v>1467</v>
      </c>
      <c r="C72" s="1534">
        <f>P2E!C72</f>
        <v>0</v>
      </c>
      <c r="D72" s="1534">
        <f>P2E!D72</f>
        <v>0</v>
      </c>
      <c r="E72" s="1534">
        <f>P2E!E72</f>
        <v>238.79711306000002</v>
      </c>
      <c r="F72" s="1534">
        <f>P2E!F72</f>
        <v>0</v>
      </c>
      <c r="G72" s="1534">
        <f>P2E!G72</f>
        <v>0</v>
      </c>
      <c r="H72" s="1535">
        <f>P2E!H72</f>
        <v>238.79711306000002</v>
      </c>
    </row>
    <row r="73" spans="1:8">
      <c r="A73" s="1419" t="s">
        <v>1106</v>
      </c>
      <c r="B73" s="1401" t="s">
        <v>1468</v>
      </c>
      <c r="C73" s="1534">
        <f>P2E!C73</f>
        <v>0</v>
      </c>
      <c r="D73" s="1534">
        <f>P2E!D73</f>
        <v>0</v>
      </c>
      <c r="E73" s="1534">
        <f>P2E!E73</f>
        <v>184.23347470000004</v>
      </c>
      <c r="F73" s="1534">
        <f>P2E!F73</f>
        <v>0</v>
      </c>
      <c r="G73" s="1534">
        <f>P2E!G73</f>
        <v>0</v>
      </c>
      <c r="H73" s="1535">
        <f>P2E!H73</f>
        <v>184.23347470000004</v>
      </c>
    </row>
    <row r="74" spans="1:8">
      <c r="A74" s="1419" t="s">
        <v>1106</v>
      </c>
      <c r="B74" s="1401" t="s">
        <v>1469</v>
      </c>
      <c r="C74" s="1534">
        <f>P2E!C74</f>
        <v>0</v>
      </c>
      <c r="D74" s="1534">
        <f>P2E!D74</f>
        <v>0</v>
      </c>
      <c r="E74" s="1534">
        <f>P2E!E74</f>
        <v>384.76026248000005</v>
      </c>
      <c r="F74" s="1534">
        <f>P2E!F74</f>
        <v>0</v>
      </c>
      <c r="G74" s="1534">
        <f>P2E!G74</f>
        <v>0</v>
      </c>
      <c r="H74" s="1535">
        <f>P2E!H74</f>
        <v>384.76026248000005</v>
      </c>
    </row>
    <row r="75" spans="1:8">
      <c r="A75" s="1419" t="s">
        <v>1106</v>
      </c>
      <c r="B75" s="1401" t="s">
        <v>1470</v>
      </c>
      <c r="C75" s="1534">
        <f>P2E!C75</f>
        <v>0</v>
      </c>
      <c r="D75" s="1534">
        <f>P2E!D75</f>
        <v>0</v>
      </c>
      <c r="E75" s="1534">
        <f>P2E!E75</f>
        <v>618.11696870000014</v>
      </c>
      <c r="F75" s="1534">
        <f>P2E!F75</f>
        <v>0</v>
      </c>
      <c r="G75" s="1534">
        <f>P2E!G75</f>
        <v>0</v>
      </c>
      <c r="H75" s="1535">
        <f>P2E!H75</f>
        <v>618.11696870000014</v>
      </c>
    </row>
    <row r="76" spans="1:8">
      <c r="A76" s="1419" t="s">
        <v>1106</v>
      </c>
      <c r="B76" s="1401" t="s">
        <v>1427</v>
      </c>
      <c r="C76" s="1534">
        <f>P2E!C76</f>
        <v>0</v>
      </c>
      <c r="D76" s="1534">
        <f>P2E!D76</f>
        <v>0</v>
      </c>
      <c r="E76" s="1534">
        <f>P2E!E76</f>
        <v>354.61902212000007</v>
      </c>
      <c r="F76" s="1534">
        <f>P2E!F76</f>
        <v>0</v>
      </c>
      <c r="G76" s="1534">
        <f>P2E!G76</f>
        <v>0</v>
      </c>
      <c r="H76" s="1535">
        <f>P2E!H76</f>
        <v>354.61902212000007</v>
      </c>
    </row>
    <row r="77" spans="1:8">
      <c r="A77" s="1419" t="s">
        <v>1106</v>
      </c>
      <c r="B77" s="1401" t="s">
        <v>1428</v>
      </c>
      <c r="C77" s="1534">
        <f>P2E!C77</f>
        <v>0</v>
      </c>
      <c r="D77" s="1534">
        <f>P2E!D77</f>
        <v>0</v>
      </c>
      <c r="E77" s="1534">
        <f>P2E!E77</f>
        <v>207.18889048000005</v>
      </c>
      <c r="F77" s="1534">
        <f>P2E!F77</f>
        <v>0</v>
      </c>
      <c r="G77" s="1534">
        <f>P2E!G77</f>
        <v>0</v>
      </c>
      <c r="H77" s="1535">
        <f>P2E!H77</f>
        <v>207.18889048000005</v>
      </c>
    </row>
    <row r="78" spans="1:8">
      <c r="A78" s="1419" t="s">
        <v>1106</v>
      </c>
      <c r="B78" s="1401" t="s">
        <v>1473</v>
      </c>
      <c r="C78" s="1534">
        <f>P2E!C78</f>
        <v>0</v>
      </c>
      <c r="D78" s="1534">
        <f>P2E!D78</f>
        <v>0</v>
      </c>
      <c r="E78" s="1534">
        <f>P2E!E78</f>
        <v>530.50831504000007</v>
      </c>
      <c r="F78" s="1534">
        <f>P2E!F78</f>
        <v>0</v>
      </c>
      <c r="G78" s="1534">
        <f>P2E!G78</f>
        <v>0</v>
      </c>
      <c r="H78" s="1535">
        <f>P2E!H78</f>
        <v>530.50831504000007</v>
      </c>
    </row>
    <row r="79" spans="1:8">
      <c r="A79" s="1419" t="s">
        <v>1106</v>
      </c>
      <c r="B79" s="1401" t="s">
        <v>1474</v>
      </c>
      <c r="C79" s="1534">
        <f>P2E!C79</f>
        <v>0</v>
      </c>
      <c r="D79" s="1534">
        <f>P2E!D79</f>
        <v>0</v>
      </c>
      <c r="E79" s="1534">
        <f>P2E!E79</f>
        <v>841.88431360000004</v>
      </c>
      <c r="F79" s="1534">
        <f>P2E!F79</f>
        <v>0</v>
      </c>
      <c r="G79" s="1534">
        <f>P2E!G79</f>
        <v>0</v>
      </c>
      <c r="H79" s="1535">
        <f>P2E!H79</f>
        <v>841.88431360000004</v>
      </c>
    </row>
    <row r="80" spans="1:8">
      <c r="A80" s="1419" t="s">
        <v>1106</v>
      </c>
      <c r="B80" s="1401" t="s">
        <v>1716</v>
      </c>
      <c r="C80" s="1534">
        <f>P2E!C80</f>
        <v>0</v>
      </c>
      <c r="D80" s="1534">
        <f>P2E!D80</f>
        <v>0</v>
      </c>
      <c r="E80" s="1534">
        <f>P2E!E80</f>
        <v>60.241229400000016</v>
      </c>
      <c r="F80" s="1534">
        <f>P2E!F80</f>
        <v>0</v>
      </c>
      <c r="G80" s="1534">
        <f>P2E!G80</f>
        <v>0</v>
      </c>
      <c r="H80" s="1535">
        <f>P2E!H80</f>
        <v>60.241229400000016</v>
      </c>
    </row>
    <row r="81" spans="1:8">
      <c r="A81" s="1419" t="s">
        <v>1106</v>
      </c>
      <c r="B81" s="1401" t="s">
        <v>1475</v>
      </c>
      <c r="C81" s="1534">
        <f>P2E!C81</f>
        <v>0</v>
      </c>
      <c r="D81" s="1534">
        <f>P2E!D81</f>
        <v>0</v>
      </c>
      <c r="E81" s="1534">
        <f>P2E!E81</f>
        <v>317.66782674000007</v>
      </c>
      <c r="F81" s="1534">
        <f>P2E!F81</f>
        <v>0</v>
      </c>
      <c r="G81" s="1534">
        <f>P2E!G81</f>
        <v>0</v>
      </c>
      <c r="H81" s="1535">
        <f>P2E!H81</f>
        <v>317.66782674000007</v>
      </c>
    </row>
    <row r="82" spans="1:8">
      <c r="A82" s="1419" t="s">
        <v>1106</v>
      </c>
      <c r="B82" s="1401" t="s">
        <v>1476</v>
      </c>
      <c r="C82" s="1534">
        <f>P2E!C82</f>
        <v>0</v>
      </c>
      <c r="D82" s="1534">
        <f>P2E!D82</f>
        <v>0</v>
      </c>
      <c r="E82" s="1534">
        <f>P2E!E82</f>
        <v>119.34546778000001</v>
      </c>
      <c r="F82" s="1534">
        <f>P2E!F82</f>
        <v>0</v>
      </c>
      <c r="G82" s="1534">
        <f>P2E!G82</f>
        <v>0</v>
      </c>
      <c r="H82" s="1535">
        <f>P2E!H82</f>
        <v>119.34546778000001</v>
      </c>
    </row>
    <row r="83" spans="1:8">
      <c r="A83" s="1419" t="s">
        <v>1106</v>
      </c>
      <c r="B83" s="1401" t="s">
        <v>1477</v>
      </c>
      <c r="C83" s="1534">
        <f>P2E!C83</f>
        <v>0</v>
      </c>
      <c r="D83" s="1534">
        <f>P2E!D83</f>
        <v>0</v>
      </c>
      <c r="E83" s="1534">
        <f>P2E!E83</f>
        <v>334.22919596000003</v>
      </c>
      <c r="F83" s="1534">
        <f>P2E!F83</f>
        <v>0</v>
      </c>
      <c r="G83" s="1534">
        <f>P2E!G83</f>
        <v>0</v>
      </c>
      <c r="H83" s="1535">
        <f>P2E!H83</f>
        <v>334.22919596000003</v>
      </c>
    </row>
    <row r="84" spans="1:8">
      <c r="A84" s="1419" t="s">
        <v>1106</v>
      </c>
      <c r="B84" s="1401" t="s">
        <v>1478</v>
      </c>
      <c r="C84" s="1534">
        <f>P2E!C84</f>
        <v>0</v>
      </c>
      <c r="D84" s="1534">
        <f>P2E!D84</f>
        <v>0</v>
      </c>
      <c r="E84" s="1534">
        <f>P2E!E84</f>
        <v>381.68684796000008</v>
      </c>
      <c r="F84" s="1534">
        <f>P2E!F84</f>
        <v>0</v>
      </c>
      <c r="G84" s="1534">
        <f>P2E!G84</f>
        <v>0</v>
      </c>
      <c r="H84" s="1535">
        <f>P2E!H84</f>
        <v>381.68684796000008</v>
      </c>
    </row>
    <row r="85" spans="1:8">
      <c r="A85" s="1419" t="s">
        <v>1106</v>
      </c>
      <c r="B85" s="1401" t="s">
        <v>2266</v>
      </c>
      <c r="C85" s="1534">
        <f>P2E!C85</f>
        <v>0</v>
      </c>
      <c r="D85" s="1534">
        <f>P2E!D85</f>
        <v>0</v>
      </c>
      <c r="E85" s="1534">
        <f>P2E!E85</f>
        <v>257.46223184000002</v>
      </c>
      <c r="F85" s="1534">
        <f>P2E!F85</f>
        <v>0</v>
      </c>
      <c r="G85" s="1534">
        <f>P2E!G85</f>
        <v>0</v>
      </c>
      <c r="H85" s="1535">
        <f>P2E!H85</f>
        <v>257.46223184000002</v>
      </c>
    </row>
    <row r="86" spans="1:8">
      <c r="A86" s="1419" t="s">
        <v>1106</v>
      </c>
      <c r="B86" s="1401" t="s">
        <v>1479</v>
      </c>
      <c r="C86" s="1534">
        <f>P2E!C86</f>
        <v>0</v>
      </c>
      <c r="D86" s="1534">
        <f>P2E!D86</f>
        <v>0</v>
      </c>
      <c r="E86" s="1534">
        <f>P2E!E86</f>
        <v>152.58641838000003</v>
      </c>
      <c r="F86" s="1534">
        <f>P2E!F86</f>
        <v>0</v>
      </c>
      <c r="G86" s="1534">
        <f>P2E!G86</f>
        <v>0</v>
      </c>
      <c r="H86" s="1535">
        <f>P2E!H86</f>
        <v>152.58641838000003</v>
      </c>
    </row>
    <row r="87" spans="1:8">
      <c r="A87" s="1419" t="s">
        <v>1106</v>
      </c>
      <c r="B87" s="1401" t="s">
        <v>1480</v>
      </c>
      <c r="C87" s="1534">
        <f>P2E!C87</f>
        <v>0</v>
      </c>
      <c r="D87" s="1534">
        <f>P2E!D87</f>
        <v>0</v>
      </c>
      <c r="E87" s="1534">
        <f>P2E!E87</f>
        <v>204.92556128000007</v>
      </c>
      <c r="F87" s="1534">
        <f>P2E!F87</f>
        <v>0</v>
      </c>
      <c r="G87" s="1534">
        <f>P2E!G87</f>
        <v>0</v>
      </c>
      <c r="H87" s="1535">
        <f>P2E!H87</f>
        <v>204.92556128000007</v>
      </c>
    </row>
    <row r="88" spans="1:8">
      <c r="A88" s="1419" t="s">
        <v>1106</v>
      </c>
      <c r="B88" s="1401" t="s">
        <v>1482</v>
      </c>
      <c r="C88" s="1534">
        <f>P2E!C88</f>
        <v>0</v>
      </c>
      <c r="D88" s="1534">
        <f>P2E!D88</f>
        <v>0</v>
      </c>
      <c r="E88" s="1534">
        <f>P2E!E88</f>
        <v>537.24625570000012</v>
      </c>
      <c r="F88" s="1534">
        <f>P2E!F88</f>
        <v>0</v>
      </c>
      <c r="G88" s="1534">
        <f>P2E!G88</f>
        <v>0</v>
      </c>
      <c r="H88" s="1535">
        <f>P2E!H88</f>
        <v>537.24625570000012</v>
      </c>
    </row>
    <row r="89" spans="1:8">
      <c r="A89" s="1419" t="s">
        <v>1106</v>
      </c>
      <c r="B89" s="1401" t="s">
        <v>1483</v>
      </c>
      <c r="C89" s="1534">
        <f>P2E!C89</f>
        <v>0</v>
      </c>
      <c r="D89" s="1534">
        <f>P2E!D89</f>
        <v>0</v>
      </c>
      <c r="E89" s="1534">
        <f>P2E!E89</f>
        <v>111.78401564000001</v>
      </c>
      <c r="F89" s="1534">
        <f>P2E!F89</f>
        <v>0</v>
      </c>
      <c r="G89" s="1534">
        <f>P2E!G89</f>
        <v>0</v>
      </c>
      <c r="H89" s="1535">
        <f>P2E!H89</f>
        <v>111.78401564000001</v>
      </c>
    </row>
    <row r="90" spans="1:8">
      <c r="A90" s="1419" t="s">
        <v>1106</v>
      </c>
      <c r="B90" s="1401" t="s">
        <v>1430</v>
      </c>
      <c r="C90" s="1534">
        <f>P2E!C90</f>
        <v>0</v>
      </c>
      <c r="D90" s="1534">
        <f>P2E!D90</f>
        <v>0</v>
      </c>
      <c r="E90" s="1534">
        <f>P2E!E90</f>
        <v>330.95907174000007</v>
      </c>
      <c r="F90" s="1534">
        <f>P2E!F90</f>
        <v>0</v>
      </c>
      <c r="G90" s="1534">
        <f>P2E!G90</f>
        <v>0</v>
      </c>
      <c r="H90" s="1535">
        <f>P2E!H90</f>
        <v>330.95907174000007</v>
      </c>
    </row>
    <row r="91" spans="1:8">
      <c r="A91" s="1419" t="s">
        <v>1106</v>
      </c>
      <c r="B91" s="1401" t="s">
        <v>1431</v>
      </c>
      <c r="C91" s="1534">
        <f>P2E!C91</f>
        <v>0</v>
      </c>
      <c r="D91" s="1534">
        <f>P2E!D91</f>
        <v>0</v>
      </c>
      <c r="E91" s="1534">
        <f>P2E!E91</f>
        <v>206.70042800000002</v>
      </c>
      <c r="F91" s="1534">
        <f>P2E!F91</f>
        <v>0</v>
      </c>
      <c r="G91" s="1534">
        <f>P2E!G91</f>
        <v>0</v>
      </c>
      <c r="H91" s="1535">
        <f>P2E!H91</f>
        <v>206.70042800000002</v>
      </c>
    </row>
    <row r="92" spans="1:8">
      <c r="A92" s="1419" t="s">
        <v>1106</v>
      </c>
      <c r="B92" s="1401" t="s">
        <v>2267</v>
      </c>
      <c r="C92" s="1534">
        <f>P2E!C92</f>
        <v>0</v>
      </c>
      <c r="D92" s="1534">
        <f>P2E!D92</f>
        <v>0</v>
      </c>
      <c r="E92" s="1534">
        <f>P2E!E92</f>
        <v>124.07783828000002</v>
      </c>
      <c r="F92" s="1534">
        <f>P2E!F92</f>
        <v>0</v>
      </c>
      <c r="G92" s="1534">
        <f>P2E!G92</f>
        <v>0</v>
      </c>
      <c r="H92" s="1535">
        <f>P2E!H92</f>
        <v>124.07783828000002</v>
      </c>
    </row>
    <row r="93" spans="1:8">
      <c r="A93" s="1419" t="s">
        <v>1106</v>
      </c>
      <c r="B93" s="1401" t="s">
        <v>1485</v>
      </c>
      <c r="C93" s="1534">
        <f>P2E!C93</f>
        <v>0</v>
      </c>
      <c r="D93" s="1534">
        <f>P2E!D93</f>
        <v>0</v>
      </c>
      <c r="E93" s="1534">
        <f>P2E!E93</f>
        <v>407.39594786000009</v>
      </c>
      <c r="F93" s="1534">
        <f>P2E!F93</f>
        <v>0</v>
      </c>
      <c r="G93" s="1534">
        <f>P2E!G93</f>
        <v>0</v>
      </c>
      <c r="H93" s="1535">
        <f>P2E!H93</f>
        <v>407.39594786000009</v>
      </c>
    </row>
    <row r="94" spans="1:8">
      <c r="A94" s="1419" t="s">
        <v>1106</v>
      </c>
      <c r="B94" s="1401" t="s">
        <v>1486</v>
      </c>
      <c r="C94" s="1534">
        <f>P2E!C94</f>
        <v>0</v>
      </c>
      <c r="D94" s="1534">
        <f>P2E!D94</f>
        <v>0</v>
      </c>
      <c r="E94" s="1534">
        <f>P2E!E94</f>
        <v>321.09551474000006</v>
      </c>
      <c r="F94" s="1534">
        <f>P2E!F94</f>
        <v>0</v>
      </c>
      <c r="G94" s="1534">
        <f>P2E!G94</f>
        <v>0</v>
      </c>
      <c r="H94" s="1535">
        <f>P2E!H94</f>
        <v>321.09551474000006</v>
      </c>
    </row>
    <row r="95" spans="1:8">
      <c r="A95" s="1419" t="s">
        <v>1106</v>
      </c>
      <c r="B95" s="1401" t="s">
        <v>1432</v>
      </c>
      <c r="C95" s="1534">
        <f>P2E!C95</f>
        <v>0</v>
      </c>
      <c r="D95" s="1534">
        <f>P2E!D95</f>
        <v>0</v>
      </c>
      <c r="E95" s="1534">
        <f>P2E!E95</f>
        <v>256.74571098000007</v>
      </c>
      <c r="F95" s="1534">
        <f>P2E!F95</f>
        <v>0</v>
      </c>
      <c r="G95" s="1534">
        <f>P2E!G95</f>
        <v>0</v>
      </c>
      <c r="H95" s="1535">
        <f>P2E!H95</f>
        <v>256.74571098000007</v>
      </c>
    </row>
    <row r="96" spans="1:8">
      <c r="A96" s="1419" t="s">
        <v>1106</v>
      </c>
      <c r="B96" s="1401" t="s">
        <v>1433</v>
      </c>
      <c r="C96" s="1534">
        <f>P2E!C96</f>
        <v>0</v>
      </c>
      <c r="D96" s="1534">
        <f>P2E!D96</f>
        <v>0</v>
      </c>
      <c r="E96" s="1534">
        <f>P2E!E96</f>
        <v>312.61440210000006</v>
      </c>
      <c r="F96" s="1534">
        <f>P2E!F96</f>
        <v>0</v>
      </c>
      <c r="G96" s="1534">
        <f>P2E!G96</f>
        <v>0</v>
      </c>
      <c r="H96" s="1535">
        <f>P2E!H96</f>
        <v>312.61440210000006</v>
      </c>
    </row>
    <row r="97" spans="1:8">
      <c r="A97" s="1419" t="s">
        <v>1106</v>
      </c>
      <c r="B97" s="1401" t="s">
        <v>1489</v>
      </c>
      <c r="C97" s="1534">
        <f>P2E!C97</f>
        <v>0</v>
      </c>
      <c r="D97" s="1534">
        <f>P2E!D97</f>
        <v>0</v>
      </c>
      <c r="E97" s="1534">
        <f>P2E!E97</f>
        <v>150.68252210000003</v>
      </c>
      <c r="F97" s="1534">
        <f>P2E!F97</f>
        <v>0</v>
      </c>
      <c r="G97" s="1534">
        <f>P2E!G97</f>
        <v>0</v>
      </c>
      <c r="H97" s="1535">
        <f>P2E!H97</f>
        <v>150.68252210000003</v>
      </c>
    </row>
    <row r="98" spans="1:8">
      <c r="A98" s="1419" t="s">
        <v>1106</v>
      </c>
      <c r="B98" s="1401" t="s">
        <v>1490</v>
      </c>
      <c r="C98" s="1534">
        <f>P2E!C98</f>
        <v>0</v>
      </c>
      <c r="D98" s="1534">
        <f>P2E!D98</f>
        <v>0</v>
      </c>
      <c r="E98" s="1534">
        <f>P2E!E98</f>
        <v>214.24068578000001</v>
      </c>
      <c r="F98" s="1534">
        <f>P2E!F98</f>
        <v>0</v>
      </c>
      <c r="G98" s="1534">
        <f>P2E!G98</f>
        <v>0</v>
      </c>
      <c r="H98" s="1535">
        <f>P2E!H98</f>
        <v>214.24068578000001</v>
      </c>
    </row>
    <row r="99" spans="1:8">
      <c r="A99" s="1419" t="s">
        <v>1106</v>
      </c>
      <c r="B99" s="1401" t="s">
        <v>1491</v>
      </c>
      <c r="C99" s="1534">
        <f>P2E!C99</f>
        <v>0</v>
      </c>
      <c r="D99" s="1534">
        <f>P2E!D99</f>
        <v>0</v>
      </c>
      <c r="E99" s="1534">
        <f>P2E!E99</f>
        <v>325.48604330000006</v>
      </c>
      <c r="F99" s="1534">
        <f>P2E!F99</f>
        <v>0</v>
      </c>
      <c r="G99" s="1534">
        <f>P2E!G99</f>
        <v>0</v>
      </c>
      <c r="H99" s="1535">
        <f>P2E!H99</f>
        <v>325.48604330000006</v>
      </c>
    </row>
    <row r="100" spans="1:8">
      <c r="A100" s="1419" t="s">
        <v>1106</v>
      </c>
      <c r="B100" s="1401" t="s">
        <v>1492</v>
      </c>
      <c r="C100" s="1534">
        <f>P2E!C100</f>
        <v>0</v>
      </c>
      <c r="D100" s="1534">
        <f>P2E!D100</f>
        <v>0</v>
      </c>
      <c r="E100" s="1534">
        <f>P2E!E100</f>
        <v>229.06482896000003</v>
      </c>
      <c r="F100" s="1534">
        <f>P2E!F100</f>
        <v>0</v>
      </c>
      <c r="G100" s="1534">
        <f>P2E!G100</f>
        <v>0</v>
      </c>
      <c r="H100" s="1535">
        <f>P2E!H100</f>
        <v>229.06482896000003</v>
      </c>
    </row>
    <row r="101" spans="1:8">
      <c r="A101" s="1419" t="s">
        <v>1106</v>
      </c>
      <c r="B101" s="1401" t="s">
        <v>1493</v>
      </c>
      <c r="C101" s="1534">
        <f>P2E!C101</f>
        <v>0</v>
      </c>
      <c r="D101" s="1534">
        <f>P2E!D101</f>
        <v>0</v>
      </c>
      <c r="E101" s="1534">
        <f>P2E!E101</f>
        <v>719.37118924000015</v>
      </c>
      <c r="F101" s="1534">
        <f>P2E!F101</f>
        <v>0</v>
      </c>
      <c r="G101" s="1534">
        <f>P2E!G101</f>
        <v>0</v>
      </c>
      <c r="H101" s="1535">
        <f>P2E!H101</f>
        <v>719.37118924000015</v>
      </c>
    </row>
    <row r="102" spans="1:8">
      <c r="A102" s="1419" t="s">
        <v>1106</v>
      </c>
      <c r="B102" s="1401" t="s">
        <v>1702</v>
      </c>
      <c r="C102" s="1534">
        <f>P2E!C102</f>
        <v>0</v>
      </c>
      <c r="D102" s="1534">
        <f>P2E!D102</f>
        <v>0</v>
      </c>
      <c r="E102" s="1534">
        <f>P2E!E102</f>
        <v>116.16119548000003</v>
      </c>
      <c r="F102" s="1534">
        <f>P2E!F102</f>
        <v>0</v>
      </c>
      <c r="G102" s="1534">
        <f>P2E!G102</f>
        <v>0</v>
      </c>
      <c r="H102" s="1535">
        <f>P2E!H102</f>
        <v>116.16119548000003</v>
      </c>
    </row>
    <row r="103" spans="1:8">
      <c r="A103" s="1419" t="s">
        <v>1106</v>
      </c>
      <c r="B103" s="1401" t="s">
        <v>1703</v>
      </c>
      <c r="C103" s="1534">
        <f>P2E!C103</f>
        <v>0</v>
      </c>
      <c r="D103" s="1534">
        <f>P2E!D103</f>
        <v>0</v>
      </c>
      <c r="E103" s="1534">
        <f>P2E!E103</f>
        <v>102.33115200000002</v>
      </c>
      <c r="F103" s="1534">
        <f>P2E!F103</f>
        <v>0</v>
      </c>
      <c r="G103" s="1534">
        <f>P2E!G103</f>
        <v>0</v>
      </c>
      <c r="H103" s="1535">
        <f>P2E!H103</f>
        <v>102.33115200000002</v>
      </c>
    </row>
    <row r="104" spans="1:8">
      <c r="A104" s="1419" t="s">
        <v>1106</v>
      </c>
      <c r="B104" s="1401" t="s">
        <v>1494</v>
      </c>
      <c r="C104" s="1534">
        <f>P2E!C104</f>
        <v>0</v>
      </c>
      <c r="D104" s="1534">
        <f>P2E!D104</f>
        <v>0</v>
      </c>
      <c r="E104" s="1534">
        <f>P2E!E104</f>
        <v>169.78816800000001</v>
      </c>
      <c r="F104" s="1534">
        <f>P2E!F104</f>
        <v>0</v>
      </c>
      <c r="G104" s="1534">
        <f>P2E!G104</f>
        <v>0</v>
      </c>
      <c r="H104" s="1535">
        <f>P2E!H104</f>
        <v>169.78816800000001</v>
      </c>
    </row>
    <row r="105" spans="1:8">
      <c r="A105" s="1419" t="s">
        <v>1106</v>
      </c>
      <c r="B105" s="1401" t="s">
        <v>1704</v>
      </c>
      <c r="C105" s="1534">
        <f>P2E!C105</f>
        <v>0</v>
      </c>
      <c r="D105" s="1534">
        <f>P2E!D105</f>
        <v>0</v>
      </c>
      <c r="E105" s="1534">
        <f>P2E!E105</f>
        <v>100.188</v>
      </c>
      <c r="F105" s="1534">
        <f>P2E!F105</f>
        <v>0</v>
      </c>
      <c r="G105" s="1534">
        <f>P2E!G105</f>
        <v>0</v>
      </c>
      <c r="H105" s="1535">
        <f>P2E!H105</f>
        <v>100.188</v>
      </c>
    </row>
    <row r="106" spans="1:8">
      <c r="A106" s="1419" t="s">
        <v>1106</v>
      </c>
      <c r="B106" s="1401" t="s">
        <v>1705</v>
      </c>
      <c r="C106" s="1534">
        <f>P2E!C106</f>
        <v>0</v>
      </c>
      <c r="D106" s="1534">
        <f>P2E!D106</f>
        <v>0</v>
      </c>
      <c r="E106" s="1534">
        <f>P2E!E106</f>
        <v>11.432413960000002</v>
      </c>
      <c r="F106" s="1534">
        <f>P2E!F106</f>
        <v>0</v>
      </c>
      <c r="G106" s="1534">
        <f>P2E!G106</f>
        <v>0</v>
      </c>
      <c r="H106" s="1535">
        <f>P2E!H106</f>
        <v>11.432413960000002</v>
      </c>
    </row>
    <row r="107" spans="1:8">
      <c r="A107" s="1419" t="s">
        <v>1106</v>
      </c>
      <c r="B107" s="1401" t="s">
        <v>1434</v>
      </c>
      <c r="C107" s="1534">
        <f>P2E!C107</f>
        <v>0</v>
      </c>
      <c r="D107" s="1534">
        <f>P2E!D107</f>
        <v>0</v>
      </c>
      <c r="E107" s="1534">
        <f>P2E!E107</f>
        <v>600.22626202000004</v>
      </c>
      <c r="F107" s="1534">
        <f>P2E!F107</f>
        <v>0</v>
      </c>
      <c r="G107" s="1534">
        <f>P2E!G107</f>
        <v>0</v>
      </c>
      <c r="H107" s="1535">
        <f>P2E!H107</f>
        <v>600.22626202000004</v>
      </c>
    </row>
    <row r="108" spans="1:8">
      <c r="A108" s="1419" t="s">
        <v>1106</v>
      </c>
      <c r="B108" s="1401" t="s">
        <v>1495</v>
      </c>
      <c r="C108" s="1534">
        <f>P2E!C108</f>
        <v>0</v>
      </c>
      <c r="D108" s="1534">
        <f>P2E!D108</f>
        <v>0</v>
      </c>
      <c r="E108" s="1534">
        <f>P2E!E108</f>
        <v>457.19411738000008</v>
      </c>
      <c r="F108" s="1534">
        <f>P2E!F108</f>
        <v>0</v>
      </c>
      <c r="G108" s="1534">
        <f>P2E!G108</f>
        <v>0</v>
      </c>
      <c r="H108" s="1535">
        <f>P2E!H108</f>
        <v>457.19411738000008</v>
      </c>
    </row>
    <row r="109" spans="1:8">
      <c r="A109" s="1419" t="s">
        <v>1106</v>
      </c>
      <c r="B109" s="1401" t="s">
        <v>1435</v>
      </c>
      <c r="C109" s="1534">
        <f>P2E!C109</f>
        <v>0</v>
      </c>
      <c r="D109" s="1534">
        <f>P2E!D109</f>
        <v>0</v>
      </c>
      <c r="E109" s="1534">
        <f>P2E!E109</f>
        <v>611.93685982000011</v>
      </c>
      <c r="F109" s="1534">
        <f>P2E!F109</f>
        <v>0</v>
      </c>
      <c r="G109" s="1534">
        <f>P2E!G109</f>
        <v>0</v>
      </c>
      <c r="H109" s="1535">
        <f>P2E!H109</f>
        <v>611.93685982000011</v>
      </c>
    </row>
    <row r="110" spans="1:8">
      <c r="A110" s="1419" t="s">
        <v>1106</v>
      </c>
      <c r="B110" s="1401" t="s">
        <v>1436</v>
      </c>
      <c r="C110" s="1534">
        <f>P2E!C110</f>
        <v>0</v>
      </c>
      <c r="D110" s="1534">
        <f>P2E!D110</f>
        <v>0</v>
      </c>
      <c r="E110" s="1534">
        <f>P2E!E110</f>
        <v>1084.4741547200001</v>
      </c>
      <c r="F110" s="1534">
        <f>P2E!F110</f>
        <v>0</v>
      </c>
      <c r="G110" s="1534">
        <f>P2E!G110</f>
        <v>0</v>
      </c>
      <c r="H110" s="1535">
        <f>P2E!H110</f>
        <v>1084.4741547200001</v>
      </c>
    </row>
    <row r="111" spans="1:8">
      <c r="A111" s="1419" t="s">
        <v>1106</v>
      </c>
      <c r="B111" s="1401" t="s">
        <v>1437</v>
      </c>
      <c r="C111" s="1534">
        <f>P2E!C111</f>
        <v>0</v>
      </c>
      <c r="D111" s="1534">
        <f>P2E!D111</f>
        <v>0</v>
      </c>
      <c r="E111" s="1534">
        <f>P2E!E111</f>
        <v>90.787212340000011</v>
      </c>
      <c r="F111" s="1534">
        <f>P2E!F111</f>
        <v>0</v>
      </c>
      <c r="G111" s="1534">
        <f>P2E!G111</f>
        <v>0</v>
      </c>
      <c r="H111" s="1535">
        <f>P2E!H111</f>
        <v>90.787212340000011</v>
      </c>
    </row>
    <row r="112" spans="1:8">
      <c r="A112" s="1419" t="s">
        <v>1106</v>
      </c>
      <c r="B112" s="1401" t="s">
        <v>1496</v>
      </c>
      <c r="C112" s="1534">
        <f>P2E!C112</f>
        <v>0</v>
      </c>
      <c r="D112" s="1534">
        <f>P2E!D112</f>
        <v>0</v>
      </c>
      <c r="E112" s="1534">
        <f>P2E!E112</f>
        <v>344.04777242000006</v>
      </c>
      <c r="F112" s="1534">
        <f>P2E!F112</f>
        <v>0</v>
      </c>
      <c r="G112" s="1534">
        <f>P2E!G112</f>
        <v>0</v>
      </c>
      <c r="H112" s="1535">
        <f>P2E!H112</f>
        <v>344.04777242000006</v>
      </c>
    </row>
    <row r="113" spans="1:8">
      <c r="A113" s="1419" t="s">
        <v>1106</v>
      </c>
      <c r="B113" s="1401" t="s">
        <v>1497</v>
      </c>
      <c r="C113" s="1534">
        <f>P2E!C113</f>
        <v>0</v>
      </c>
      <c r="D113" s="1534">
        <f>P2E!D113</f>
        <v>0</v>
      </c>
      <c r="E113" s="1534">
        <f>P2E!E113</f>
        <v>46.686487540000009</v>
      </c>
      <c r="F113" s="1534">
        <f>P2E!F113</f>
        <v>0</v>
      </c>
      <c r="G113" s="1534">
        <f>P2E!G113</f>
        <v>0</v>
      </c>
      <c r="H113" s="1535">
        <f>P2E!H113</f>
        <v>46.686487540000009</v>
      </c>
    </row>
    <row r="114" spans="1:8">
      <c r="A114" s="1419" t="s">
        <v>1106</v>
      </c>
      <c r="B114" s="1401" t="s">
        <v>2268</v>
      </c>
      <c r="C114" s="1534">
        <f>P2E!C114</f>
        <v>0</v>
      </c>
      <c r="D114" s="1534">
        <f>P2E!D114</f>
        <v>0</v>
      </c>
      <c r="E114" s="1534">
        <f>P2E!E114</f>
        <v>97.532776000000013</v>
      </c>
      <c r="F114" s="1534">
        <f>P2E!F114</f>
        <v>0</v>
      </c>
      <c r="G114" s="1534">
        <f>P2E!G114</f>
        <v>0</v>
      </c>
      <c r="H114" s="1535">
        <f>P2E!H114</f>
        <v>97.532776000000013</v>
      </c>
    </row>
    <row r="115" spans="1:8">
      <c r="A115" s="1419" t="s">
        <v>1106</v>
      </c>
      <c r="B115" s="1401" t="s">
        <v>2269</v>
      </c>
      <c r="C115" s="1534">
        <f>P2E!C115</f>
        <v>285.62259330000001</v>
      </c>
      <c r="D115" s="1534">
        <f>P2E!D115</f>
        <v>0</v>
      </c>
      <c r="E115" s="1534">
        <f>P2E!E115</f>
        <v>0</v>
      </c>
      <c r="F115" s="1534">
        <f>P2E!F115</f>
        <v>0</v>
      </c>
      <c r="G115" s="1534">
        <f>P2E!G115</f>
        <v>0</v>
      </c>
      <c r="H115" s="1535">
        <f>P2E!H115</f>
        <v>285.62259330000001</v>
      </c>
    </row>
    <row r="116" spans="1:8">
      <c r="A116" s="1419" t="s">
        <v>1106</v>
      </c>
      <c r="B116" s="1401" t="s">
        <v>1498</v>
      </c>
      <c r="C116" s="1534">
        <f>P2E!C116</f>
        <v>184.02758593999999</v>
      </c>
      <c r="D116" s="1534">
        <f>P2E!D116</f>
        <v>0</v>
      </c>
      <c r="E116" s="1534">
        <f>P2E!E116</f>
        <v>0</v>
      </c>
      <c r="F116" s="1534">
        <f>P2E!F116</f>
        <v>0</v>
      </c>
      <c r="G116" s="1534">
        <f>P2E!G116</f>
        <v>0</v>
      </c>
      <c r="H116" s="1535">
        <f>P2E!H116</f>
        <v>184.02758593999999</v>
      </c>
    </row>
    <row r="117" spans="1:8">
      <c r="A117" s="1419" t="s">
        <v>1106</v>
      </c>
      <c r="B117" s="1401" t="s">
        <v>1504</v>
      </c>
      <c r="C117" s="1534">
        <f>P2E!C117</f>
        <v>65.574178560000021</v>
      </c>
      <c r="D117" s="1534">
        <f>P2E!D117</f>
        <v>0</v>
      </c>
      <c r="E117" s="1534">
        <f>P2E!E117</f>
        <v>0</v>
      </c>
      <c r="F117" s="1534">
        <f>P2E!F117</f>
        <v>0</v>
      </c>
      <c r="G117" s="1534">
        <f>P2E!G117</f>
        <v>0</v>
      </c>
      <c r="H117" s="1535">
        <f>P2E!H117</f>
        <v>65.574178560000021</v>
      </c>
    </row>
    <row r="118" spans="1:8">
      <c r="A118" s="1419" t="s">
        <v>1106</v>
      </c>
      <c r="B118" s="1401" t="s">
        <v>1505</v>
      </c>
      <c r="C118" s="1534">
        <f>P2E!C118</f>
        <v>224.94107394000002</v>
      </c>
      <c r="D118" s="1534">
        <f>P2E!D118</f>
        <v>0</v>
      </c>
      <c r="E118" s="1534">
        <f>P2E!E118</f>
        <v>0</v>
      </c>
      <c r="F118" s="1534">
        <f>P2E!F118</f>
        <v>0</v>
      </c>
      <c r="G118" s="1534">
        <f>P2E!G118</f>
        <v>0</v>
      </c>
      <c r="H118" s="1535">
        <f>P2E!H118</f>
        <v>224.94107394000002</v>
      </c>
    </row>
    <row r="119" spans="1:8">
      <c r="A119" s="1419" t="s">
        <v>1106</v>
      </c>
      <c r="B119" s="1401" t="s">
        <v>1717</v>
      </c>
      <c r="C119" s="1534">
        <f>P2E!C119</f>
        <v>83.552920000000029</v>
      </c>
      <c r="D119" s="1534">
        <f>P2E!D119</f>
        <v>0</v>
      </c>
      <c r="E119" s="1534">
        <f>P2E!E119</f>
        <v>0</v>
      </c>
      <c r="F119" s="1534">
        <f>P2E!F119</f>
        <v>0</v>
      </c>
      <c r="G119" s="1534">
        <f>P2E!G119</f>
        <v>0</v>
      </c>
      <c r="H119" s="1535">
        <f>P2E!H119</f>
        <v>83.552920000000029</v>
      </c>
    </row>
    <row r="120" spans="1:8">
      <c r="A120" s="1419" t="s">
        <v>1106</v>
      </c>
      <c r="B120" s="1401" t="s">
        <v>1506</v>
      </c>
      <c r="C120" s="1534">
        <f>P2E!C120</f>
        <v>461.8901031800001</v>
      </c>
      <c r="D120" s="1534">
        <f>P2E!D120</f>
        <v>0</v>
      </c>
      <c r="E120" s="1534">
        <f>P2E!E120</f>
        <v>0</v>
      </c>
      <c r="F120" s="1534">
        <f>P2E!F120</f>
        <v>0</v>
      </c>
      <c r="G120" s="1534">
        <f>P2E!G120</f>
        <v>0</v>
      </c>
      <c r="H120" s="1535">
        <f>P2E!H120</f>
        <v>461.8901031800001</v>
      </c>
    </row>
    <row r="121" spans="1:8">
      <c r="A121" s="1419" t="s">
        <v>1106</v>
      </c>
      <c r="B121" s="1401" t="s">
        <v>1507</v>
      </c>
      <c r="C121" s="1534">
        <f>P2E!C121</f>
        <v>232.13284930000003</v>
      </c>
      <c r="D121" s="1534">
        <f>P2E!D121</f>
        <v>0</v>
      </c>
      <c r="E121" s="1534">
        <f>P2E!E121</f>
        <v>0</v>
      </c>
      <c r="F121" s="1534">
        <f>P2E!F121</f>
        <v>0</v>
      </c>
      <c r="G121" s="1534">
        <f>P2E!G121</f>
        <v>0</v>
      </c>
      <c r="H121" s="1535">
        <f>P2E!H121</f>
        <v>232.13284930000003</v>
      </c>
    </row>
    <row r="122" spans="1:8">
      <c r="A122" s="1419" t="s">
        <v>1106</v>
      </c>
      <c r="B122" s="1401" t="s">
        <v>1438</v>
      </c>
      <c r="C122" s="1534">
        <f>P2E!C122</f>
        <v>359.55048118000008</v>
      </c>
      <c r="D122" s="1534">
        <f>P2E!D122</f>
        <v>0</v>
      </c>
      <c r="E122" s="1534">
        <f>P2E!E122</f>
        <v>0</v>
      </c>
      <c r="F122" s="1534">
        <f>P2E!F122</f>
        <v>0</v>
      </c>
      <c r="G122" s="1534">
        <f>P2E!G122</f>
        <v>0</v>
      </c>
      <c r="H122" s="1535">
        <f>P2E!H122</f>
        <v>359.55048118000008</v>
      </c>
    </row>
    <row r="123" spans="1:8">
      <c r="A123" s="1419" t="s">
        <v>1106</v>
      </c>
      <c r="B123" s="1401" t="s">
        <v>1439</v>
      </c>
      <c r="C123" s="1534">
        <f>P2E!C123</f>
        <v>221.98291676000005</v>
      </c>
      <c r="D123" s="1534">
        <f>P2E!D123</f>
        <v>0</v>
      </c>
      <c r="E123" s="1534">
        <f>P2E!E123</f>
        <v>0</v>
      </c>
      <c r="F123" s="1534">
        <f>P2E!F123</f>
        <v>0</v>
      </c>
      <c r="G123" s="1534">
        <f>P2E!G123</f>
        <v>0</v>
      </c>
      <c r="H123" s="1535">
        <f>P2E!H123</f>
        <v>221.98291676000005</v>
      </c>
    </row>
    <row r="124" spans="1:8">
      <c r="A124" s="1419" t="s">
        <v>1106</v>
      </c>
      <c r="B124" s="1401" t="s">
        <v>1508</v>
      </c>
      <c r="C124" s="1534">
        <f>P2E!C124</f>
        <v>358.79222258000004</v>
      </c>
      <c r="D124" s="1534">
        <f>P2E!D124</f>
        <v>0</v>
      </c>
      <c r="E124" s="1534">
        <f>P2E!E124</f>
        <v>0</v>
      </c>
      <c r="F124" s="1534">
        <f>P2E!F124</f>
        <v>0</v>
      </c>
      <c r="G124" s="1534">
        <f>P2E!G124</f>
        <v>0</v>
      </c>
      <c r="H124" s="1535">
        <f>P2E!H124</f>
        <v>358.79222258000004</v>
      </c>
    </row>
    <row r="125" spans="1:8">
      <c r="A125" s="1419" t="s">
        <v>1106</v>
      </c>
      <c r="B125" s="1401" t="s">
        <v>1509</v>
      </c>
      <c r="C125" s="1534">
        <f>P2E!C125</f>
        <v>392.47361318000003</v>
      </c>
      <c r="D125" s="1534">
        <f>P2E!D125</f>
        <v>0</v>
      </c>
      <c r="E125" s="1534">
        <f>P2E!E125</f>
        <v>0</v>
      </c>
      <c r="F125" s="1534">
        <f>P2E!F125</f>
        <v>0</v>
      </c>
      <c r="G125" s="1534">
        <f>P2E!G125</f>
        <v>0</v>
      </c>
      <c r="H125" s="1535">
        <f>P2E!H125</f>
        <v>392.47361318000003</v>
      </c>
    </row>
    <row r="126" spans="1:8">
      <c r="A126" s="1419" t="s">
        <v>1106</v>
      </c>
      <c r="B126" s="1401" t="s">
        <v>1511</v>
      </c>
      <c r="C126" s="1534">
        <f>P2E!C126</f>
        <v>22.538094040000004</v>
      </c>
      <c r="D126" s="1534">
        <f>P2E!D126</f>
        <v>0</v>
      </c>
      <c r="E126" s="1534">
        <f>P2E!E126</f>
        <v>0</v>
      </c>
      <c r="F126" s="1534">
        <f>P2E!F126</f>
        <v>0</v>
      </c>
      <c r="G126" s="1534">
        <f>P2E!G126</f>
        <v>0</v>
      </c>
      <c r="H126" s="1535">
        <f>P2E!H126</f>
        <v>22.538094040000004</v>
      </c>
    </row>
    <row r="127" spans="1:8">
      <c r="A127" s="1419" t="s">
        <v>1106</v>
      </c>
      <c r="B127" s="1401" t="s">
        <v>1512</v>
      </c>
      <c r="C127" s="1534">
        <f>P2E!C127</f>
        <v>196.70896432000001</v>
      </c>
      <c r="D127" s="1534">
        <f>P2E!D127</f>
        <v>0</v>
      </c>
      <c r="E127" s="1534">
        <f>P2E!E127</f>
        <v>0</v>
      </c>
      <c r="F127" s="1534">
        <f>P2E!F127</f>
        <v>0</v>
      </c>
      <c r="G127" s="1534">
        <f>P2E!G127</f>
        <v>0</v>
      </c>
      <c r="H127" s="1535">
        <f>P2E!H127</f>
        <v>196.70896432000001</v>
      </c>
    </row>
    <row r="128" spans="1:8">
      <c r="A128" s="1419" t="s">
        <v>1106</v>
      </c>
      <c r="B128" s="1401" t="s">
        <v>1706</v>
      </c>
      <c r="C128" s="1534">
        <f>P2E!C128</f>
        <v>456.8822495600001</v>
      </c>
      <c r="D128" s="1534">
        <f>P2E!D128</f>
        <v>0</v>
      </c>
      <c r="E128" s="1534">
        <f>P2E!E128</f>
        <v>0</v>
      </c>
      <c r="F128" s="1534">
        <f>P2E!F128</f>
        <v>0</v>
      </c>
      <c r="G128" s="1534">
        <f>P2E!G128</f>
        <v>0</v>
      </c>
      <c r="H128" s="1535">
        <f>P2E!H128</f>
        <v>456.8822495600001</v>
      </c>
    </row>
    <row r="129" spans="1:8">
      <c r="A129" s="1419" t="s">
        <v>1106</v>
      </c>
      <c r="B129" s="1401" t="s">
        <v>1514</v>
      </c>
      <c r="C129" s="1534">
        <f>P2E!C129</f>
        <v>275.40453292000007</v>
      </c>
      <c r="D129" s="1534">
        <f>P2E!D129</f>
        <v>0</v>
      </c>
      <c r="E129" s="1534">
        <f>P2E!E129</f>
        <v>0</v>
      </c>
      <c r="F129" s="1534">
        <f>P2E!F129</f>
        <v>0</v>
      </c>
      <c r="G129" s="1534">
        <f>P2E!G129</f>
        <v>0</v>
      </c>
      <c r="H129" s="1535">
        <f>P2E!H129</f>
        <v>275.40453292000007</v>
      </c>
    </row>
    <row r="130" spans="1:8">
      <c r="A130" s="1419" t="s">
        <v>1106</v>
      </c>
      <c r="B130" s="1401" t="s">
        <v>1440</v>
      </c>
      <c r="C130" s="1534">
        <f>P2E!C130</f>
        <v>701.63379682000016</v>
      </c>
      <c r="D130" s="1534">
        <f>P2E!D130</f>
        <v>0</v>
      </c>
      <c r="E130" s="1534">
        <f>P2E!E130</f>
        <v>0</v>
      </c>
      <c r="F130" s="1534">
        <f>P2E!F130</f>
        <v>0</v>
      </c>
      <c r="G130" s="1534">
        <f>P2E!G130</f>
        <v>0</v>
      </c>
      <c r="H130" s="1535">
        <f>P2E!H130</f>
        <v>701.63379682000016</v>
      </c>
    </row>
    <row r="131" spans="1:8">
      <c r="A131" s="1419" t="s">
        <v>1106</v>
      </c>
      <c r="B131" s="1401" t="s">
        <v>1515</v>
      </c>
      <c r="C131" s="1534">
        <f>P2E!C131</f>
        <v>221.38754110000002</v>
      </c>
      <c r="D131" s="1534">
        <f>P2E!D131</f>
        <v>0</v>
      </c>
      <c r="E131" s="1534">
        <f>P2E!E131</f>
        <v>0</v>
      </c>
      <c r="F131" s="1534">
        <f>P2E!F131</f>
        <v>0</v>
      </c>
      <c r="G131" s="1534">
        <f>P2E!G131</f>
        <v>0</v>
      </c>
      <c r="H131" s="1535">
        <f>P2E!H131</f>
        <v>221.38754110000002</v>
      </c>
    </row>
    <row r="132" spans="1:8">
      <c r="A132" s="1419" t="s">
        <v>1106</v>
      </c>
      <c r="B132" s="1401" t="s">
        <v>1516</v>
      </c>
      <c r="C132" s="1534">
        <f>P2E!C132</f>
        <v>354.62927566000002</v>
      </c>
      <c r="D132" s="1534">
        <f>P2E!D132</f>
        <v>0</v>
      </c>
      <c r="E132" s="1534">
        <f>P2E!E132</f>
        <v>0</v>
      </c>
      <c r="F132" s="1534">
        <f>P2E!F132</f>
        <v>0</v>
      </c>
      <c r="G132" s="1534">
        <f>P2E!G132</f>
        <v>0</v>
      </c>
      <c r="H132" s="1535">
        <f>P2E!H132</f>
        <v>354.62927566000002</v>
      </c>
    </row>
    <row r="133" spans="1:8">
      <c r="A133" s="1419" t="s">
        <v>1106</v>
      </c>
      <c r="B133" s="1401" t="s">
        <v>1517</v>
      </c>
      <c r="C133" s="1534">
        <f>P2E!C133</f>
        <v>95.691961860000021</v>
      </c>
      <c r="D133" s="1534">
        <f>P2E!D133</f>
        <v>0</v>
      </c>
      <c r="E133" s="1534">
        <f>P2E!E133</f>
        <v>0</v>
      </c>
      <c r="F133" s="1534">
        <f>P2E!F133</f>
        <v>0</v>
      </c>
      <c r="G133" s="1534">
        <f>P2E!G133</f>
        <v>0</v>
      </c>
      <c r="H133" s="1535">
        <f>P2E!H133</f>
        <v>95.691961860000021</v>
      </c>
    </row>
    <row r="134" spans="1:8">
      <c r="A134" s="1419" t="s">
        <v>1106</v>
      </c>
      <c r="B134" s="1401" t="s">
        <v>1441</v>
      </c>
      <c r="C134" s="1534">
        <f>P2E!C134</f>
        <v>142.74859324000005</v>
      </c>
      <c r="D134" s="1534">
        <f>P2E!D134</f>
        <v>0</v>
      </c>
      <c r="E134" s="1534">
        <f>P2E!E134</f>
        <v>0</v>
      </c>
      <c r="F134" s="1534">
        <f>P2E!F134</f>
        <v>0</v>
      </c>
      <c r="G134" s="1534">
        <f>P2E!G134</f>
        <v>0</v>
      </c>
      <c r="H134" s="1535">
        <f>P2E!H134</f>
        <v>142.74859324000005</v>
      </c>
    </row>
    <row r="135" spans="1:8">
      <c r="A135" s="1419" t="s">
        <v>1106</v>
      </c>
      <c r="B135" s="1401" t="s">
        <v>1519</v>
      </c>
      <c r="C135" s="1534">
        <f>P2E!C135</f>
        <v>181.61821458000003</v>
      </c>
      <c r="D135" s="1534">
        <f>P2E!D135</f>
        <v>0</v>
      </c>
      <c r="E135" s="1534">
        <f>P2E!E135</f>
        <v>0</v>
      </c>
      <c r="F135" s="1534">
        <f>P2E!F135</f>
        <v>0</v>
      </c>
      <c r="G135" s="1534">
        <f>P2E!G135</f>
        <v>0</v>
      </c>
      <c r="H135" s="1535">
        <f>P2E!H135</f>
        <v>181.61821458000003</v>
      </c>
    </row>
    <row r="136" spans="1:8">
      <c r="A136" s="1419" t="s">
        <v>1106</v>
      </c>
      <c r="B136" s="1401" t="s">
        <v>1520</v>
      </c>
      <c r="C136" s="1534">
        <f>P2E!C136</f>
        <v>266.82989696000004</v>
      </c>
      <c r="D136" s="1534">
        <f>P2E!D136</f>
        <v>0</v>
      </c>
      <c r="E136" s="1534">
        <f>P2E!E136</f>
        <v>0</v>
      </c>
      <c r="F136" s="1534">
        <f>P2E!F136</f>
        <v>0</v>
      </c>
      <c r="G136" s="1534">
        <f>P2E!G136</f>
        <v>0</v>
      </c>
      <c r="H136" s="1535">
        <f>P2E!H136</f>
        <v>266.82989696000004</v>
      </c>
    </row>
    <row r="137" spans="1:8">
      <c r="A137" s="1419" t="s">
        <v>1106</v>
      </c>
      <c r="B137" s="1401" t="s">
        <v>1521</v>
      </c>
      <c r="C137" s="1534">
        <f>P2E!C137</f>
        <v>220.94836192000005</v>
      </c>
      <c r="D137" s="1534">
        <f>P2E!D137</f>
        <v>0</v>
      </c>
      <c r="E137" s="1534">
        <f>P2E!E137</f>
        <v>0</v>
      </c>
      <c r="F137" s="1534">
        <f>P2E!F137</f>
        <v>0</v>
      </c>
      <c r="G137" s="1534">
        <f>P2E!G137</f>
        <v>0</v>
      </c>
      <c r="H137" s="1535">
        <f>P2E!H137</f>
        <v>220.94836192000005</v>
      </c>
    </row>
    <row r="138" spans="1:8">
      <c r="A138" s="1419" t="s">
        <v>1106</v>
      </c>
      <c r="B138" s="1401" t="s">
        <v>1522</v>
      </c>
      <c r="C138" s="1534">
        <f>P2E!C138</f>
        <v>91.097439400000013</v>
      </c>
      <c r="D138" s="1534">
        <f>P2E!D138</f>
        <v>0</v>
      </c>
      <c r="E138" s="1534">
        <f>P2E!E138</f>
        <v>0</v>
      </c>
      <c r="F138" s="1534">
        <f>P2E!F138</f>
        <v>0</v>
      </c>
      <c r="G138" s="1534">
        <f>P2E!G138</f>
        <v>0</v>
      </c>
      <c r="H138" s="1535">
        <f>P2E!H138</f>
        <v>91.097439400000013</v>
      </c>
    </row>
    <row r="139" spans="1:8">
      <c r="A139" s="1419" t="s">
        <v>1106</v>
      </c>
      <c r="B139" s="1401" t="s">
        <v>1444</v>
      </c>
      <c r="C139" s="1534">
        <f>P2E!C139</f>
        <v>566.46056346000012</v>
      </c>
      <c r="D139" s="1534">
        <f>P2E!D139</f>
        <v>0</v>
      </c>
      <c r="E139" s="1534">
        <f>P2E!E139</f>
        <v>0</v>
      </c>
      <c r="F139" s="1534">
        <f>P2E!F139</f>
        <v>0</v>
      </c>
      <c r="G139" s="1534">
        <f>P2E!G139</f>
        <v>0</v>
      </c>
      <c r="H139" s="1535">
        <f>P2E!H139</f>
        <v>566.46056346000012</v>
      </c>
    </row>
    <row r="140" spans="1:8">
      <c r="A140" s="1419" t="s">
        <v>1106</v>
      </c>
      <c r="B140" s="1401" t="s">
        <v>1524</v>
      </c>
      <c r="C140" s="1534">
        <f>P2E!C140</f>
        <v>662.00083246000008</v>
      </c>
      <c r="D140" s="1534">
        <f>P2E!D140</f>
        <v>0</v>
      </c>
      <c r="E140" s="1534">
        <f>P2E!E140</f>
        <v>0</v>
      </c>
      <c r="F140" s="1534">
        <f>P2E!F140</f>
        <v>0</v>
      </c>
      <c r="G140" s="1534">
        <f>P2E!G140</f>
        <v>0</v>
      </c>
      <c r="H140" s="1535">
        <f>P2E!H140</f>
        <v>662.00083246000008</v>
      </c>
    </row>
    <row r="141" spans="1:8">
      <c r="A141" s="1419" t="s">
        <v>1106</v>
      </c>
      <c r="B141" s="1401" t="s">
        <v>1525</v>
      </c>
      <c r="C141" s="1534">
        <f>P2E!C141</f>
        <v>120.36842598000001</v>
      </c>
      <c r="D141" s="1534">
        <f>P2E!D141</f>
        <v>0</v>
      </c>
      <c r="E141" s="1534">
        <f>P2E!E141</f>
        <v>0</v>
      </c>
      <c r="F141" s="1534">
        <f>P2E!F141</f>
        <v>0</v>
      </c>
      <c r="G141" s="1534">
        <f>P2E!G141</f>
        <v>0</v>
      </c>
      <c r="H141" s="1535">
        <f>P2E!H141</f>
        <v>120.36842598000001</v>
      </c>
    </row>
    <row r="142" spans="1:8">
      <c r="A142" s="1419" t="s">
        <v>1106</v>
      </c>
      <c r="B142" s="1401" t="s">
        <v>1526</v>
      </c>
      <c r="C142" s="1534">
        <f>P2E!C142</f>
        <v>46.519744700000004</v>
      </c>
      <c r="D142" s="1534">
        <f>P2E!D142</f>
        <v>0</v>
      </c>
      <c r="E142" s="1534">
        <f>P2E!E142</f>
        <v>0</v>
      </c>
      <c r="F142" s="1534">
        <f>P2E!F142</f>
        <v>0</v>
      </c>
      <c r="G142" s="1534">
        <f>P2E!G142</f>
        <v>0</v>
      </c>
      <c r="H142" s="1535">
        <f>P2E!H142</f>
        <v>46.519744700000004</v>
      </c>
    </row>
    <row r="143" spans="1:8">
      <c r="A143" s="1419" t="s">
        <v>1106</v>
      </c>
      <c r="B143" s="1401" t="s">
        <v>1527</v>
      </c>
      <c r="C143" s="1534">
        <f>P2E!C143</f>
        <v>52.45580626000001</v>
      </c>
      <c r="D143" s="1534">
        <f>P2E!D143</f>
        <v>0</v>
      </c>
      <c r="E143" s="1534">
        <f>P2E!E143</f>
        <v>0</v>
      </c>
      <c r="F143" s="1534">
        <f>P2E!F143</f>
        <v>0</v>
      </c>
      <c r="G143" s="1534">
        <f>P2E!G143</f>
        <v>0</v>
      </c>
      <c r="H143" s="1535">
        <f>P2E!H143</f>
        <v>52.45580626000001</v>
      </c>
    </row>
    <row r="144" spans="1:8">
      <c r="A144" s="1419" t="s">
        <v>1106</v>
      </c>
      <c r="B144" s="1401" t="s">
        <v>1528</v>
      </c>
      <c r="C144" s="1534">
        <f>P2E!C144</f>
        <v>296.41776318000001</v>
      </c>
      <c r="D144" s="1534">
        <f>P2E!D144</f>
        <v>0</v>
      </c>
      <c r="E144" s="1534">
        <f>P2E!E144</f>
        <v>0</v>
      </c>
      <c r="F144" s="1534">
        <f>P2E!F144</f>
        <v>0</v>
      </c>
      <c r="G144" s="1534">
        <f>P2E!G144</f>
        <v>0</v>
      </c>
      <c r="H144" s="1535">
        <f>P2E!H144</f>
        <v>296.41776318000001</v>
      </c>
    </row>
    <row r="145" spans="1:8">
      <c r="A145" s="1419" t="s">
        <v>1106</v>
      </c>
      <c r="B145" s="1401" t="s">
        <v>1529</v>
      </c>
      <c r="C145" s="1534">
        <f>P2E!C145</f>
        <v>144.91878390000002</v>
      </c>
      <c r="D145" s="1534">
        <f>P2E!D145</f>
        <v>0</v>
      </c>
      <c r="E145" s="1534">
        <f>P2E!E145</f>
        <v>0</v>
      </c>
      <c r="F145" s="1534">
        <f>P2E!F145</f>
        <v>0</v>
      </c>
      <c r="G145" s="1534">
        <f>P2E!G145</f>
        <v>0</v>
      </c>
      <c r="H145" s="1535">
        <f>P2E!H145</f>
        <v>144.91878390000002</v>
      </c>
    </row>
    <row r="146" spans="1:8">
      <c r="A146" s="1419" t="s">
        <v>1106</v>
      </c>
      <c r="B146" s="1401" t="s">
        <v>1530</v>
      </c>
      <c r="C146" s="1534">
        <f>P2E!C146</f>
        <v>166.20568470000003</v>
      </c>
      <c r="D146" s="1534">
        <f>P2E!D146</f>
        <v>0</v>
      </c>
      <c r="E146" s="1534">
        <f>P2E!E146</f>
        <v>0</v>
      </c>
      <c r="F146" s="1534">
        <f>P2E!F146</f>
        <v>0</v>
      </c>
      <c r="G146" s="1534">
        <f>P2E!G146</f>
        <v>0</v>
      </c>
      <c r="H146" s="1535">
        <f>P2E!H146</f>
        <v>166.20568470000003</v>
      </c>
    </row>
    <row r="147" spans="1:8">
      <c r="A147" s="1419" t="s">
        <v>1106</v>
      </c>
      <c r="B147" s="1401" t="s">
        <v>1445</v>
      </c>
      <c r="C147" s="1534">
        <f>P2E!C147</f>
        <v>321.23938616000009</v>
      </c>
      <c r="D147" s="1534">
        <f>P2E!D147</f>
        <v>0</v>
      </c>
      <c r="E147" s="1534">
        <f>P2E!E147</f>
        <v>0</v>
      </c>
      <c r="F147" s="1534">
        <f>P2E!F147</f>
        <v>0</v>
      </c>
      <c r="G147" s="1534">
        <f>P2E!G147</f>
        <v>0</v>
      </c>
      <c r="H147" s="1535">
        <f>P2E!H147</f>
        <v>321.23938616000009</v>
      </c>
    </row>
    <row r="148" spans="1:8">
      <c r="A148" s="1419" t="s">
        <v>1106</v>
      </c>
      <c r="B148" s="1401" t="s">
        <v>1446</v>
      </c>
      <c r="C148" s="1534">
        <f>P2E!C148</f>
        <v>211.01685616</v>
      </c>
      <c r="D148" s="1534">
        <f>P2E!D148</f>
        <v>0</v>
      </c>
      <c r="E148" s="1534">
        <f>P2E!E148</f>
        <v>0</v>
      </c>
      <c r="F148" s="1534">
        <f>P2E!F148</f>
        <v>0</v>
      </c>
      <c r="G148" s="1534">
        <f>P2E!G148</f>
        <v>0</v>
      </c>
      <c r="H148" s="1535">
        <f>P2E!H148</f>
        <v>211.01685616</v>
      </c>
    </row>
    <row r="149" spans="1:8">
      <c r="A149" s="1419" t="s">
        <v>1106</v>
      </c>
      <c r="B149" s="1401" t="s">
        <v>1532</v>
      </c>
      <c r="C149" s="1534">
        <f>P2E!C149</f>
        <v>192.97160102000001</v>
      </c>
      <c r="D149" s="1534">
        <f>P2E!D149</f>
        <v>0</v>
      </c>
      <c r="E149" s="1534">
        <f>P2E!E149</f>
        <v>0</v>
      </c>
      <c r="F149" s="1534">
        <f>P2E!F149</f>
        <v>0</v>
      </c>
      <c r="G149" s="1534">
        <f>P2E!G149</f>
        <v>0</v>
      </c>
      <c r="H149" s="1535">
        <f>P2E!H149</f>
        <v>192.97160102000001</v>
      </c>
    </row>
    <row r="150" spans="1:8">
      <c r="A150" s="1419" t="s">
        <v>1106</v>
      </c>
      <c r="B150" s="1401" t="s">
        <v>1538</v>
      </c>
      <c r="C150" s="1534">
        <f>P2E!C150</f>
        <v>532.37263222000001</v>
      </c>
      <c r="D150" s="1534">
        <f>P2E!D150</f>
        <v>0</v>
      </c>
      <c r="E150" s="1534">
        <f>P2E!E150</f>
        <v>0</v>
      </c>
      <c r="F150" s="1534">
        <f>P2E!F150</f>
        <v>0</v>
      </c>
      <c r="G150" s="1534">
        <f>P2E!G150</f>
        <v>0</v>
      </c>
      <c r="H150" s="1535">
        <f>P2E!H150</f>
        <v>532.37263222000001</v>
      </c>
    </row>
    <row r="151" spans="1:8">
      <c r="A151" s="1419" t="s">
        <v>1106</v>
      </c>
      <c r="B151" s="1401" t="s">
        <v>1533</v>
      </c>
      <c r="C151" s="1534">
        <f>P2E!C151</f>
        <v>311.11792734000005</v>
      </c>
      <c r="D151" s="1534">
        <f>P2E!D151</f>
        <v>0</v>
      </c>
      <c r="E151" s="1534">
        <f>P2E!E151</f>
        <v>0</v>
      </c>
      <c r="F151" s="1534">
        <f>P2E!F151</f>
        <v>0</v>
      </c>
      <c r="G151" s="1534">
        <f>P2E!G151</f>
        <v>0</v>
      </c>
      <c r="H151" s="1535">
        <f>P2E!H151</f>
        <v>311.11792734000005</v>
      </c>
    </row>
    <row r="152" spans="1:8">
      <c r="A152" s="1419" t="s">
        <v>1106</v>
      </c>
      <c r="B152" s="1401" t="s">
        <v>1534</v>
      </c>
      <c r="C152" s="1534">
        <f>P2E!C152</f>
        <v>132.59129180000002</v>
      </c>
      <c r="D152" s="1534">
        <f>P2E!D152</f>
        <v>0</v>
      </c>
      <c r="E152" s="1534">
        <f>P2E!E152</f>
        <v>0</v>
      </c>
      <c r="F152" s="1534">
        <f>P2E!F152</f>
        <v>0</v>
      </c>
      <c r="G152" s="1534">
        <f>P2E!G152</f>
        <v>0</v>
      </c>
      <c r="H152" s="1535">
        <f>P2E!H152</f>
        <v>132.59129180000002</v>
      </c>
    </row>
    <row r="153" spans="1:8">
      <c r="A153" s="1419" t="s">
        <v>1106</v>
      </c>
      <c r="B153" s="1401" t="s">
        <v>1447</v>
      </c>
      <c r="C153" s="1534">
        <f>P2E!C153</f>
        <v>257.55289230000005</v>
      </c>
      <c r="D153" s="1534">
        <f>P2E!D153</f>
        <v>0</v>
      </c>
      <c r="E153" s="1534">
        <f>P2E!E153</f>
        <v>0</v>
      </c>
      <c r="F153" s="1534">
        <f>P2E!F153</f>
        <v>0</v>
      </c>
      <c r="G153" s="1534">
        <f>P2E!G153</f>
        <v>0</v>
      </c>
      <c r="H153" s="1535">
        <f>P2E!H153</f>
        <v>257.55289230000005</v>
      </c>
    </row>
    <row r="154" spans="1:8">
      <c r="A154" s="1419" t="s">
        <v>1106</v>
      </c>
      <c r="B154" s="1401" t="s">
        <v>1535</v>
      </c>
      <c r="C154" s="1534">
        <f>P2E!C154</f>
        <v>190.91941198000004</v>
      </c>
      <c r="D154" s="1534">
        <f>P2E!D154</f>
        <v>0</v>
      </c>
      <c r="E154" s="1534">
        <f>P2E!E154</f>
        <v>0</v>
      </c>
      <c r="F154" s="1534">
        <f>P2E!F154</f>
        <v>0</v>
      </c>
      <c r="G154" s="1534">
        <f>P2E!G154</f>
        <v>0</v>
      </c>
      <c r="H154" s="1535">
        <f>P2E!H154</f>
        <v>190.91941198000004</v>
      </c>
    </row>
    <row r="155" spans="1:8">
      <c r="A155" s="1419" t="s">
        <v>1106</v>
      </c>
      <c r="B155" s="1401" t="s">
        <v>1536</v>
      </c>
      <c r="C155" s="1534">
        <f>P2E!C155</f>
        <v>78.960253680000008</v>
      </c>
      <c r="D155" s="1534">
        <f>P2E!D155</f>
        <v>0</v>
      </c>
      <c r="E155" s="1534">
        <f>P2E!E155</f>
        <v>0</v>
      </c>
      <c r="F155" s="1534">
        <f>P2E!F155</f>
        <v>0</v>
      </c>
      <c r="G155" s="1534">
        <f>P2E!G155</f>
        <v>0</v>
      </c>
      <c r="H155" s="1535">
        <f>P2E!H155</f>
        <v>78.960253680000008</v>
      </c>
    </row>
    <row r="156" spans="1:8">
      <c r="A156" s="1419" t="s">
        <v>1106</v>
      </c>
      <c r="B156" s="1401" t="s">
        <v>1537</v>
      </c>
      <c r="C156" s="1534">
        <f>P2E!C156</f>
        <v>542.60364928000013</v>
      </c>
      <c r="D156" s="1534">
        <f>P2E!D156</f>
        <v>0</v>
      </c>
      <c r="E156" s="1534">
        <f>P2E!E156</f>
        <v>0</v>
      </c>
      <c r="F156" s="1534">
        <f>P2E!F156</f>
        <v>0</v>
      </c>
      <c r="G156" s="1534">
        <f>P2E!G156</f>
        <v>0</v>
      </c>
      <c r="H156" s="1535">
        <f>P2E!H156</f>
        <v>542.60364928000013</v>
      </c>
    </row>
    <row r="157" spans="1:8">
      <c r="A157" s="1419" t="s">
        <v>1106</v>
      </c>
      <c r="B157" s="1401" t="s">
        <v>1448</v>
      </c>
      <c r="C157" s="1534">
        <f>P2E!C157</f>
        <v>607.16629930000011</v>
      </c>
      <c r="D157" s="1534">
        <f>P2E!D157</f>
        <v>0</v>
      </c>
      <c r="E157" s="1534">
        <f>P2E!E157</f>
        <v>0</v>
      </c>
      <c r="F157" s="1534">
        <f>P2E!F157</f>
        <v>0</v>
      </c>
      <c r="G157" s="1534">
        <f>P2E!G157</f>
        <v>0</v>
      </c>
      <c r="H157" s="1535">
        <f>P2E!H157</f>
        <v>607.16629930000011</v>
      </c>
    </row>
    <row r="158" spans="1:8">
      <c r="A158" s="1419" t="s">
        <v>1106</v>
      </c>
      <c r="B158" s="1401" t="s">
        <v>1539</v>
      </c>
      <c r="C158" s="1534">
        <f>P2E!C158</f>
        <v>131.94198886000004</v>
      </c>
      <c r="D158" s="1534">
        <f>P2E!D158</f>
        <v>0</v>
      </c>
      <c r="E158" s="1534">
        <f>P2E!E158</f>
        <v>0</v>
      </c>
      <c r="F158" s="1534">
        <f>P2E!F158</f>
        <v>0</v>
      </c>
      <c r="G158" s="1534">
        <f>P2E!G158</f>
        <v>0</v>
      </c>
      <c r="H158" s="1535">
        <f>P2E!H158</f>
        <v>131.94198886000004</v>
      </c>
    </row>
    <row r="159" spans="1:8">
      <c r="A159" s="1419" t="s">
        <v>1106</v>
      </c>
      <c r="B159" s="1401" t="s">
        <v>1541</v>
      </c>
      <c r="C159" s="1534">
        <f>P2E!C159</f>
        <v>85.860798980000027</v>
      </c>
      <c r="D159" s="1534">
        <f>P2E!D159</f>
        <v>0</v>
      </c>
      <c r="E159" s="1534">
        <f>P2E!E159</f>
        <v>0</v>
      </c>
      <c r="F159" s="1534">
        <f>P2E!F159</f>
        <v>0</v>
      </c>
      <c r="G159" s="1534">
        <f>P2E!G159</f>
        <v>0</v>
      </c>
      <c r="H159" s="1535">
        <f>P2E!H159</f>
        <v>85.860798980000027</v>
      </c>
    </row>
    <row r="160" spans="1:8">
      <c r="A160" s="1419" t="s">
        <v>1106</v>
      </c>
      <c r="B160" s="1401" t="s">
        <v>2270</v>
      </c>
      <c r="C160" s="1534">
        <f>P2E!C160</f>
        <v>267.55623576000005</v>
      </c>
      <c r="D160" s="1534">
        <f>P2E!D160</f>
        <v>0</v>
      </c>
      <c r="E160" s="1534">
        <f>P2E!E160</f>
        <v>0</v>
      </c>
      <c r="F160" s="1534">
        <f>P2E!F160</f>
        <v>0</v>
      </c>
      <c r="G160" s="1534">
        <f>P2E!G160</f>
        <v>0</v>
      </c>
      <c r="H160" s="1535">
        <f>P2E!H160</f>
        <v>267.55623576000005</v>
      </c>
    </row>
    <row r="161" spans="1:8">
      <c r="A161" s="1419" t="s">
        <v>1106</v>
      </c>
      <c r="B161" s="1401" t="s">
        <v>1449</v>
      </c>
      <c r="C161" s="1534">
        <f>P2E!C161</f>
        <v>401.85574022000009</v>
      </c>
      <c r="D161" s="1534">
        <f>P2E!D161</f>
        <v>0</v>
      </c>
      <c r="E161" s="1534">
        <f>P2E!E161</f>
        <v>0</v>
      </c>
      <c r="F161" s="1534">
        <f>P2E!F161</f>
        <v>0</v>
      </c>
      <c r="G161" s="1534">
        <f>P2E!G161</f>
        <v>0</v>
      </c>
      <c r="H161" s="1535">
        <f>P2E!H161</f>
        <v>401.85574022000009</v>
      </c>
    </row>
    <row r="162" spans="1:8">
      <c r="A162" s="1419" t="s">
        <v>1106</v>
      </c>
      <c r="B162" s="1401" t="s">
        <v>1698</v>
      </c>
      <c r="C162" s="1534">
        <f>P2E!C162</f>
        <v>252.97568736000005</v>
      </c>
      <c r="D162" s="1534">
        <f>P2E!D162</f>
        <v>0</v>
      </c>
      <c r="E162" s="1534">
        <f>P2E!E162</f>
        <v>0</v>
      </c>
      <c r="F162" s="1534">
        <f>P2E!F162</f>
        <v>0</v>
      </c>
      <c r="G162" s="1534">
        <f>P2E!G162</f>
        <v>0</v>
      </c>
      <c r="H162" s="1535">
        <f>P2E!H162</f>
        <v>252.97568736000005</v>
      </c>
    </row>
    <row r="163" spans="1:8">
      <c r="A163" s="1419" t="s">
        <v>1106</v>
      </c>
      <c r="B163" s="1401" t="s">
        <v>1699</v>
      </c>
      <c r="C163" s="1534">
        <f>P2E!C163</f>
        <v>434.72025982000002</v>
      </c>
      <c r="D163" s="1534">
        <f>P2E!D163</f>
        <v>0</v>
      </c>
      <c r="E163" s="1534">
        <f>P2E!E163</f>
        <v>0</v>
      </c>
      <c r="F163" s="1534">
        <f>P2E!F163</f>
        <v>0</v>
      </c>
      <c r="G163" s="1534">
        <f>P2E!G163</f>
        <v>0</v>
      </c>
      <c r="H163" s="1535">
        <f>P2E!H163</f>
        <v>434.72025982000002</v>
      </c>
    </row>
    <row r="164" spans="1:8">
      <c r="A164" s="1419" t="s">
        <v>1106</v>
      </c>
      <c r="B164" s="1401" t="s">
        <v>1450</v>
      </c>
      <c r="C164" s="1534">
        <f>P2E!C164</f>
        <v>571.9611484400001</v>
      </c>
      <c r="D164" s="1534">
        <f>P2E!D164</f>
        <v>0</v>
      </c>
      <c r="E164" s="1534">
        <f>P2E!E164</f>
        <v>0</v>
      </c>
      <c r="F164" s="1534">
        <f>P2E!F164</f>
        <v>0</v>
      </c>
      <c r="G164" s="1534">
        <f>P2E!G164</f>
        <v>0</v>
      </c>
      <c r="H164" s="1535">
        <f>P2E!H164</f>
        <v>571.9611484400001</v>
      </c>
    </row>
    <row r="165" spans="1:8">
      <c r="A165" s="1419" t="s">
        <v>1106</v>
      </c>
      <c r="B165" s="1401" t="s">
        <v>1542</v>
      </c>
      <c r="C165" s="1534">
        <f>P2E!C165</f>
        <v>283.13739124000006</v>
      </c>
      <c r="D165" s="1534">
        <f>P2E!D165</f>
        <v>0</v>
      </c>
      <c r="E165" s="1534">
        <f>P2E!E165</f>
        <v>0</v>
      </c>
      <c r="F165" s="1534">
        <f>P2E!F165</f>
        <v>0</v>
      </c>
      <c r="G165" s="1534">
        <f>P2E!G165</f>
        <v>0</v>
      </c>
      <c r="H165" s="1535">
        <f>P2E!H165</f>
        <v>283.13739124000006</v>
      </c>
    </row>
    <row r="166" spans="1:8">
      <c r="A166" s="1419" t="s">
        <v>1106</v>
      </c>
      <c r="B166" s="1401" t="s">
        <v>1700</v>
      </c>
      <c r="C166" s="1534">
        <f>P2E!C166</f>
        <v>27.563173220000007</v>
      </c>
      <c r="D166" s="1534">
        <f>P2E!D166</f>
        <v>0</v>
      </c>
      <c r="E166" s="1534">
        <f>P2E!E166</f>
        <v>0</v>
      </c>
      <c r="F166" s="1534">
        <f>P2E!F166</f>
        <v>0</v>
      </c>
      <c r="G166" s="1534">
        <f>P2E!G166</f>
        <v>0</v>
      </c>
      <c r="H166" s="1535">
        <f>P2E!H166</f>
        <v>27.563173220000007</v>
      </c>
    </row>
    <row r="167" spans="1:8">
      <c r="A167" s="1419" t="s">
        <v>1106</v>
      </c>
      <c r="B167" s="1401" t="s">
        <v>1543</v>
      </c>
      <c r="C167" s="1534">
        <f>P2E!C167</f>
        <v>108.30293276000002</v>
      </c>
      <c r="D167" s="1534">
        <f>P2E!D167</f>
        <v>0</v>
      </c>
      <c r="E167" s="1534">
        <f>P2E!E167</f>
        <v>0</v>
      </c>
      <c r="F167" s="1534">
        <f>P2E!F167</f>
        <v>0</v>
      </c>
      <c r="G167" s="1534">
        <f>P2E!G167</f>
        <v>0</v>
      </c>
      <c r="H167" s="1535">
        <f>P2E!H167</f>
        <v>108.30293276000002</v>
      </c>
    </row>
    <row r="168" spans="1:8">
      <c r="A168" s="1419" t="s">
        <v>1106</v>
      </c>
      <c r="B168" s="1401" t="s">
        <v>1707</v>
      </c>
      <c r="C168" s="1534">
        <f>P2E!C168</f>
        <v>338.94253800000007</v>
      </c>
      <c r="D168" s="1534">
        <f>P2E!D168</f>
        <v>0</v>
      </c>
      <c r="E168" s="1534">
        <f>P2E!E168</f>
        <v>0</v>
      </c>
      <c r="F168" s="1534">
        <f>P2E!F168</f>
        <v>0</v>
      </c>
      <c r="G168" s="1534">
        <f>P2E!G168</f>
        <v>0</v>
      </c>
      <c r="H168" s="1535">
        <f>P2E!H168</f>
        <v>338.94253800000007</v>
      </c>
    </row>
    <row r="169" spans="1:8">
      <c r="A169" s="1419" t="s">
        <v>1106</v>
      </c>
      <c r="B169" s="1401" t="s">
        <v>1708</v>
      </c>
      <c r="C169" s="1534">
        <f>P2E!C169</f>
        <v>0</v>
      </c>
      <c r="D169" s="1534">
        <f>P2E!D169</f>
        <v>0</v>
      </c>
      <c r="E169" s="1534">
        <f>P2E!E169</f>
        <v>0</v>
      </c>
      <c r="F169" s="1534">
        <f>P2E!F169</f>
        <v>0</v>
      </c>
      <c r="G169" s="1534">
        <f>P2E!G169</f>
        <v>0</v>
      </c>
      <c r="H169" s="1535">
        <f>P2E!H169</f>
        <v>0</v>
      </c>
    </row>
    <row r="170" spans="1:8">
      <c r="A170" s="1419" t="s">
        <v>1106</v>
      </c>
      <c r="B170" s="1401" t="s">
        <v>1451</v>
      </c>
      <c r="C170" s="1534">
        <f>P2E!C170</f>
        <v>621.05781320000017</v>
      </c>
      <c r="D170" s="1534">
        <f>P2E!D170</f>
        <v>0</v>
      </c>
      <c r="E170" s="1534">
        <f>P2E!E170</f>
        <v>0</v>
      </c>
      <c r="F170" s="1534">
        <f>P2E!F170</f>
        <v>0</v>
      </c>
      <c r="G170" s="1534">
        <f>P2E!G170</f>
        <v>0</v>
      </c>
      <c r="H170" s="1535">
        <f>P2E!H170</f>
        <v>621.05781320000017</v>
      </c>
    </row>
    <row r="171" spans="1:8">
      <c r="A171" s="1419" t="s">
        <v>1106</v>
      </c>
      <c r="B171" s="1401" t="s">
        <v>1709</v>
      </c>
      <c r="C171" s="1534">
        <f>P2E!C171</f>
        <v>0</v>
      </c>
      <c r="D171" s="1534">
        <f>P2E!D171</f>
        <v>0</v>
      </c>
      <c r="E171" s="1534">
        <f>P2E!E171</f>
        <v>0</v>
      </c>
      <c r="F171" s="1534">
        <f>P2E!F171</f>
        <v>0</v>
      </c>
      <c r="G171" s="1534">
        <f>P2E!G171</f>
        <v>0</v>
      </c>
      <c r="H171" s="1535">
        <f>P2E!H171</f>
        <v>0</v>
      </c>
    </row>
    <row r="172" spans="1:8">
      <c r="A172" s="1419" t="s">
        <v>1106</v>
      </c>
      <c r="B172" s="1401" t="s">
        <v>1546</v>
      </c>
      <c r="C172" s="1534">
        <f>P2E!C172</f>
        <v>156.89973684000003</v>
      </c>
      <c r="D172" s="1534">
        <f>P2E!D172</f>
        <v>0</v>
      </c>
      <c r="E172" s="1534">
        <f>P2E!E172</f>
        <v>0</v>
      </c>
      <c r="F172" s="1534">
        <f>P2E!F172</f>
        <v>0</v>
      </c>
      <c r="G172" s="1534">
        <f>P2E!G172</f>
        <v>0</v>
      </c>
      <c r="H172" s="1535">
        <f>P2E!H172</f>
        <v>156.89973684000003</v>
      </c>
    </row>
    <row r="173" spans="1:8">
      <c r="A173" s="1419" t="s">
        <v>1106</v>
      </c>
      <c r="B173" s="1401" t="s">
        <v>1452</v>
      </c>
      <c r="C173" s="1534">
        <f>P2E!C173</f>
        <v>307.12877514000002</v>
      </c>
      <c r="D173" s="1534">
        <f>P2E!D173</f>
        <v>0</v>
      </c>
      <c r="E173" s="1534">
        <f>P2E!E173</f>
        <v>0</v>
      </c>
      <c r="F173" s="1534">
        <f>P2E!F173</f>
        <v>0</v>
      </c>
      <c r="G173" s="1534">
        <f>P2E!G173</f>
        <v>0</v>
      </c>
      <c r="H173" s="1535">
        <f>P2E!H173</f>
        <v>307.12877514000002</v>
      </c>
    </row>
    <row r="174" spans="1:8">
      <c r="A174" s="1419" t="s">
        <v>1106</v>
      </c>
      <c r="B174" s="1401" t="s">
        <v>1453</v>
      </c>
      <c r="C174" s="1534">
        <f>P2E!C174</f>
        <v>242.22574486000002</v>
      </c>
      <c r="D174" s="1534">
        <f>P2E!D174</f>
        <v>0</v>
      </c>
      <c r="E174" s="1534">
        <f>P2E!E174</f>
        <v>0</v>
      </c>
      <c r="F174" s="1534">
        <f>P2E!F174</f>
        <v>0</v>
      </c>
      <c r="G174" s="1534">
        <f>P2E!G174</f>
        <v>0</v>
      </c>
      <c r="H174" s="1535">
        <f>P2E!H174</f>
        <v>242.22574486000002</v>
      </c>
    </row>
    <row r="175" spans="1:8">
      <c r="A175" s="1419" t="s">
        <v>1106</v>
      </c>
      <c r="B175" s="1401" t="s">
        <v>1547</v>
      </c>
      <c r="C175" s="1534">
        <f>P2E!C175</f>
        <v>407.91771196000008</v>
      </c>
      <c r="D175" s="1534">
        <f>P2E!D175</f>
        <v>0</v>
      </c>
      <c r="E175" s="1534">
        <f>P2E!E175</f>
        <v>0</v>
      </c>
      <c r="F175" s="1534">
        <f>P2E!F175</f>
        <v>0</v>
      </c>
      <c r="G175" s="1534">
        <f>P2E!G175</f>
        <v>0</v>
      </c>
      <c r="H175" s="1535">
        <f>P2E!H175</f>
        <v>407.91771196000008</v>
      </c>
    </row>
    <row r="176" spans="1:8">
      <c r="A176" s="1419" t="s">
        <v>1106</v>
      </c>
      <c r="B176" s="1401" t="s">
        <v>1548</v>
      </c>
      <c r="C176" s="1534">
        <f>P2E!C176</f>
        <v>158.29453288000002</v>
      </c>
      <c r="D176" s="1534">
        <f>P2E!D176</f>
        <v>0</v>
      </c>
      <c r="E176" s="1534">
        <f>P2E!E176</f>
        <v>0</v>
      </c>
      <c r="F176" s="1534">
        <f>P2E!F176</f>
        <v>0</v>
      </c>
      <c r="G176" s="1534">
        <f>P2E!G176</f>
        <v>0</v>
      </c>
      <c r="H176" s="1535">
        <f>P2E!H176</f>
        <v>158.29453288000002</v>
      </c>
    </row>
    <row r="177" spans="1:8">
      <c r="A177" s="1419" t="s">
        <v>1106</v>
      </c>
      <c r="B177" s="1401" t="s">
        <v>1499</v>
      </c>
      <c r="C177" s="1534">
        <f>P2E!C177</f>
        <v>326.95811236000009</v>
      </c>
      <c r="D177" s="1534">
        <f>P2E!D177</f>
        <v>0</v>
      </c>
      <c r="E177" s="1534">
        <f>P2E!E177</f>
        <v>0</v>
      </c>
      <c r="F177" s="1534">
        <f>P2E!F177</f>
        <v>0</v>
      </c>
      <c r="G177" s="1534">
        <f>P2E!G177</f>
        <v>0</v>
      </c>
      <c r="H177" s="1535">
        <f>P2E!H177</f>
        <v>326.95811236000009</v>
      </c>
    </row>
    <row r="178" spans="1:8">
      <c r="A178" s="1419" t="s">
        <v>1106</v>
      </c>
      <c r="B178" s="1401" t="s">
        <v>1500</v>
      </c>
      <c r="C178" s="1534">
        <f>P2E!C178</f>
        <v>122.02502246000002</v>
      </c>
      <c r="D178" s="1534">
        <f>P2E!D178</f>
        <v>0</v>
      </c>
      <c r="E178" s="1534">
        <f>P2E!E178</f>
        <v>0</v>
      </c>
      <c r="F178" s="1534">
        <f>P2E!F178</f>
        <v>0</v>
      </c>
      <c r="G178" s="1534">
        <f>P2E!G178</f>
        <v>0</v>
      </c>
      <c r="H178" s="1535">
        <f>P2E!H178</f>
        <v>122.02502246000002</v>
      </c>
    </row>
    <row r="179" spans="1:8">
      <c r="A179" s="1419" t="s">
        <v>1106</v>
      </c>
      <c r="B179" s="1401" t="s">
        <v>1455</v>
      </c>
      <c r="C179" s="1534">
        <f>P2E!C179</f>
        <v>0</v>
      </c>
      <c r="D179" s="1534">
        <f>P2E!D179</f>
        <v>0</v>
      </c>
      <c r="E179" s="1534">
        <f>P2E!E179</f>
        <v>404.65217364000006</v>
      </c>
      <c r="F179" s="1534">
        <f>P2E!F179</f>
        <v>0</v>
      </c>
      <c r="G179" s="1534">
        <f>P2E!G179</f>
        <v>0</v>
      </c>
      <c r="H179" s="1535">
        <f>P2E!H179</f>
        <v>404.65217364000006</v>
      </c>
    </row>
    <row r="180" spans="1:8">
      <c r="A180" s="1419" t="s">
        <v>1106</v>
      </c>
      <c r="B180" s="1401" t="s">
        <v>1456</v>
      </c>
      <c r="C180" s="1534">
        <f>P2E!C180</f>
        <v>0</v>
      </c>
      <c r="D180" s="1534">
        <f>P2E!D180</f>
        <v>0</v>
      </c>
      <c r="E180" s="1534">
        <f>P2E!E180</f>
        <v>85.01022706000002</v>
      </c>
      <c r="F180" s="1534">
        <f>P2E!F180</f>
        <v>0</v>
      </c>
      <c r="G180" s="1534">
        <f>P2E!G180</f>
        <v>0</v>
      </c>
      <c r="H180" s="1535">
        <f>P2E!H180</f>
        <v>85.01022706000002</v>
      </c>
    </row>
    <row r="181" spans="1:8">
      <c r="A181" s="1419" t="s">
        <v>1106</v>
      </c>
      <c r="B181" s="1401" t="s">
        <v>1502</v>
      </c>
      <c r="C181" s="1534">
        <f>P2E!C181</f>
        <v>154.51735090000003</v>
      </c>
      <c r="D181" s="1534">
        <f>P2E!D181</f>
        <v>0</v>
      </c>
      <c r="E181" s="1534">
        <f>P2E!E181</f>
        <v>0</v>
      </c>
      <c r="F181" s="1534">
        <f>P2E!F181</f>
        <v>0</v>
      </c>
      <c r="G181" s="1534">
        <f>P2E!G181</f>
        <v>0</v>
      </c>
      <c r="H181" s="1535">
        <f>P2E!H181</f>
        <v>154.51735090000003</v>
      </c>
    </row>
    <row r="182" spans="1:8">
      <c r="A182" s="1419" t="s">
        <v>1106</v>
      </c>
      <c r="B182" s="1401" t="s">
        <v>1503</v>
      </c>
      <c r="C182" s="1534">
        <f>P2E!C182</f>
        <v>246.29309936000004</v>
      </c>
      <c r="D182" s="1534">
        <f>P2E!D182</f>
        <v>0</v>
      </c>
      <c r="E182" s="1534">
        <f>P2E!E182</f>
        <v>0</v>
      </c>
      <c r="F182" s="1534">
        <f>P2E!F182</f>
        <v>0</v>
      </c>
      <c r="G182" s="1534">
        <f>P2E!G182</f>
        <v>0</v>
      </c>
      <c r="H182" s="1535">
        <f>P2E!H182</f>
        <v>246.29309936000004</v>
      </c>
    </row>
    <row r="183" spans="1:8">
      <c r="A183" s="1419" t="s">
        <v>1106</v>
      </c>
      <c r="B183" s="1401" t="s">
        <v>1710</v>
      </c>
      <c r="C183" s="1534">
        <f>P2E!C183</f>
        <v>0</v>
      </c>
      <c r="D183" s="1534">
        <f>P2E!D183</f>
        <v>0</v>
      </c>
      <c r="E183" s="1534">
        <f>P2E!E183</f>
        <v>100.03090086</v>
      </c>
      <c r="F183" s="1534">
        <f>P2E!F183</f>
        <v>0</v>
      </c>
      <c r="G183" s="1534">
        <f>P2E!G183</f>
        <v>0</v>
      </c>
      <c r="H183" s="1535">
        <f>P2E!H183</f>
        <v>100.03090086</v>
      </c>
    </row>
    <row r="184" spans="1:8">
      <c r="A184" s="1419" t="s">
        <v>1106</v>
      </c>
      <c r="B184" s="1401" t="s">
        <v>1510</v>
      </c>
      <c r="C184" s="1534">
        <f>P2E!C184</f>
        <v>157.30020570000002</v>
      </c>
      <c r="D184" s="1534">
        <f>P2E!D184</f>
        <v>0</v>
      </c>
      <c r="E184" s="1534">
        <f>P2E!E184</f>
        <v>0</v>
      </c>
      <c r="F184" s="1534">
        <f>P2E!F184</f>
        <v>0</v>
      </c>
      <c r="G184" s="1534">
        <f>P2E!G184</f>
        <v>0</v>
      </c>
      <c r="H184" s="1535">
        <f>P2E!H184</f>
        <v>157.30020570000002</v>
      </c>
    </row>
    <row r="185" spans="1:8">
      <c r="A185" s="1419" t="s">
        <v>1106</v>
      </c>
      <c r="B185" s="1401" t="s">
        <v>1513</v>
      </c>
      <c r="C185" s="1534">
        <f>P2E!C185</f>
        <v>358.38234960000005</v>
      </c>
      <c r="D185" s="1534">
        <f>P2E!D185</f>
        <v>0</v>
      </c>
      <c r="E185" s="1534">
        <f>P2E!E185</f>
        <v>0</v>
      </c>
      <c r="F185" s="1534">
        <f>P2E!F185</f>
        <v>0</v>
      </c>
      <c r="G185" s="1534">
        <f>P2E!G185</f>
        <v>0</v>
      </c>
      <c r="H185" s="1535">
        <f>P2E!H185</f>
        <v>358.38234960000005</v>
      </c>
    </row>
    <row r="186" spans="1:8">
      <c r="A186" s="1419" t="s">
        <v>1106</v>
      </c>
      <c r="B186" s="1401" t="s">
        <v>1471</v>
      </c>
      <c r="C186" s="1534">
        <f>P2E!C186</f>
        <v>0</v>
      </c>
      <c r="D186" s="1534">
        <f>P2E!D186</f>
        <v>0</v>
      </c>
      <c r="E186" s="1534">
        <f>P2E!E186</f>
        <v>416.85714356000011</v>
      </c>
      <c r="F186" s="1534">
        <f>P2E!F186</f>
        <v>0</v>
      </c>
      <c r="G186" s="1534">
        <f>P2E!G186</f>
        <v>0</v>
      </c>
      <c r="H186" s="1535">
        <f>P2E!H186</f>
        <v>416.85714356000011</v>
      </c>
    </row>
    <row r="187" spans="1:8">
      <c r="A187" s="1419" t="s">
        <v>1106</v>
      </c>
      <c r="B187" s="1401" t="s">
        <v>1426</v>
      </c>
      <c r="C187" s="1534">
        <f>P2E!C187</f>
        <v>0</v>
      </c>
      <c r="D187" s="1534">
        <f>P2E!D187</f>
        <v>0</v>
      </c>
      <c r="E187" s="1534">
        <f>P2E!E187</f>
        <v>506.09454192000004</v>
      </c>
      <c r="F187" s="1534">
        <f>P2E!F187</f>
        <v>0</v>
      </c>
      <c r="G187" s="1534">
        <f>P2E!G187</f>
        <v>0</v>
      </c>
      <c r="H187" s="1535">
        <f>P2E!H187</f>
        <v>506.09454192000004</v>
      </c>
    </row>
    <row r="188" spans="1:8">
      <c r="A188" s="1419" t="s">
        <v>1106</v>
      </c>
      <c r="B188" s="1401" t="s">
        <v>2271</v>
      </c>
      <c r="C188" s="1534">
        <f>P2E!C188</f>
        <v>0</v>
      </c>
      <c r="D188" s="1534">
        <f>P2E!D188</f>
        <v>0</v>
      </c>
      <c r="E188" s="1534">
        <f>P2E!E188</f>
        <v>151.98234524000003</v>
      </c>
      <c r="F188" s="1534">
        <f>P2E!F188</f>
        <v>0</v>
      </c>
      <c r="G188" s="1534">
        <f>P2E!G188</f>
        <v>0</v>
      </c>
      <c r="H188" s="1535">
        <f>P2E!H188</f>
        <v>151.98234524000003</v>
      </c>
    </row>
    <row r="189" spans="1:8">
      <c r="A189" s="1419" t="s">
        <v>1106</v>
      </c>
      <c r="B189" s="1401" t="s">
        <v>1472</v>
      </c>
      <c r="C189" s="1534">
        <f>P2E!C189</f>
        <v>0</v>
      </c>
      <c r="D189" s="1534">
        <f>P2E!D189</f>
        <v>0</v>
      </c>
      <c r="E189" s="1534">
        <f>P2E!E189</f>
        <v>365.82160142000009</v>
      </c>
      <c r="F189" s="1534">
        <f>P2E!F189</f>
        <v>0</v>
      </c>
      <c r="G189" s="1534">
        <f>P2E!G189</f>
        <v>0</v>
      </c>
      <c r="H189" s="1535">
        <f>P2E!H189</f>
        <v>365.82160142000009</v>
      </c>
    </row>
    <row r="190" spans="1:8">
      <c r="A190" s="1419" t="s">
        <v>1106</v>
      </c>
      <c r="B190" s="1401" t="s">
        <v>1442</v>
      </c>
      <c r="C190" s="1534">
        <f>P2E!C190</f>
        <v>376.45025836000013</v>
      </c>
      <c r="D190" s="1534">
        <f>P2E!D190</f>
        <v>0</v>
      </c>
      <c r="E190" s="1534">
        <f>P2E!E190</f>
        <v>0</v>
      </c>
      <c r="F190" s="1534">
        <f>P2E!F190</f>
        <v>0</v>
      </c>
      <c r="G190" s="1534">
        <f>P2E!G190</f>
        <v>0</v>
      </c>
      <c r="H190" s="1535">
        <f>P2E!H190</f>
        <v>376.45025836000013</v>
      </c>
    </row>
    <row r="191" spans="1:8">
      <c r="A191" s="1419" t="s">
        <v>1106</v>
      </c>
      <c r="B191" s="1401" t="s">
        <v>1518</v>
      </c>
      <c r="C191" s="1534">
        <f>P2E!C191</f>
        <v>305.01742920000009</v>
      </c>
      <c r="D191" s="1534">
        <f>P2E!D191</f>
        <v>0</v>
      </c>
      <c r="E191" s="1534">
        <f>P2E!E191</f>
        <v>0</v>
      </c>
      <c r="F191" s="1534">
        <f>P2E!F191</f>
        <v>0</v>
      </c>
      <c r="G191" s="1534">
        <f>P2E!G191</f>
        <v>0</v>
      </c>
      <c r="H191" s="1535">
        <f>P2E!H191</f>
        <v>305.01742920000009</v>
      </c>
    </row>
    <row r="192" spans="1:8">
      <c r="A192" s="1419" t="s">
        <v>1106</v>
      </c>
      <c r="B192" s="1401" t="s">
        <v>1429</v>
      </c>
      <c r="C192" s="1534">
        <f>P2E!C192</f>
        <v>0</v>
      </c>
      <c r="D192" s="1534">
        <f>P2E!D192</f>
        <v>0</v>
      </c>
      <c r="E192" s="1534">
        <f>P2E!E192</f>
        <v>481.40310526000013</v>
      </c>
      <c r="F192" s="1534">
        <f>P2E!F192</f>
        <v>0</v>
      </c>
      <c r="G192" s="1534">
        <f>P2E!G192</f>
        <v>0</v>
      </c>
      <c r="H192" s="1535">
        <f>P2E!H192</f>
        <v>481.40310526000013</v>
      </c>
    </row>
    <row r="193" spans="1:8">
      <c r="A193" s="1419" t="s">
        <v>1106</v>
      </c>
      <c r="B193" s="1401" t="s">
        <v>1481</v>
      </c>
      <c r="C193" s="1534">
        <f>P2E!C193</f>
        <v>0</v>
      </c>
      <c r="D193" s="1534">
        <f>P2E!D193</f>
        <v>0</v>
      </c>
      <c r="E193" s="1534">
        <f>P2E!E193</f>
        <v>288.52690306000005</v>
      </c>
      <c r="F193" s="1534">
        <f>P2E!F193</f>
        <v>0</v>
      </c>
      <c r="G193" s="1534">
        <f>P2E!G193</f>
        <v>0</v>
      </c>
      <c r="H193" s="1535">
        <f>P2E!H193</f>
        <v>288.52690306000005</v>
      </c>
    </row>
    <row r="194" spans="1:8">
      <c r="A194" s="1419" t="s">
        <v>1106</v>
      </c>
      <c r="B194" s="1401" t="s">
        <v>1531</v>
      </c>
      <c r="C194" s="1534">
        <f>P2E!C194</f>
        <v>644.34663480000006</v>
      </c>
      <c r="D194" s="1534">
        <f>P2E!D194</f>
        <v>0</v>
      </c>
      <c r="E194" s="1534">
        <f>P2E!E194</f>
        <v>0</v>
      </c>
      <c r="F194" s="1534">
        <f>P2E!F194</f>
        <v>0</v>
      </c>
      <c r="G194" s="1534">
        <f>P2E!G194</f>
        <v>0</v>
      </c>
      <c r="H194" s="1535">
        <f>P2E!H194</f>
        <v>644.34663480000006</v>
      </c>
    </row>
    <row r="195" spans="1:8">
      <c r="A195" s="1419" t="s">
        <v>1106</v>
      </c>
      <c r="B195" s="1401" t="s">
        <v>1484</v>
      </c>
      <c r="C195" s="1534">
        <f>P2E!C195</f>
        <v>0</v>
      </c>
      <c r="D195" s="1534">
        <f>P2E!D195</f>
        <v>0</v>
      </c>
      <c r="E195" s="1534">
        <f>P2E!E195</f>
        <v>528.34258202000012</v>
      </c>
      <c r="F195" s="1534">
        <f>P2E!F195</f>
        <v>0</v>
      </c>
      <c r="G195" s="1534">
        <f>P2E!G195</f>
        <v>0</v>
      </c>
      <c r="H195" s="1535">
        <f>P2E!H195</f>
        <v>528.34258202000012</v>
      </c>
    </row>
    <row r="196" spans="1:8">
      <c r="A196" s="1419" t="s">
        <v>1106</v>
      </c>
      <c r="B196" s="1401" t="s">
        <v>1487</v>
      </c>
      <c r="C196" s="1534">
        <f>P2E!C196</f>
        <v>0</v>
      </c>
      <c r="D196" s="1534">
        <f>P2E!D196</f>
        <v>0</v>
      </c>
      <c r="E196" s="1534">
        <f>P2E!E196</f>
        <v>373.99302182000008</v>
      </c>
      <c r="F196" s="1534">
        <f>P2E!F196</f>
        <v>0</v>
      </c>
      <c r="G196" s="1534">
        <f>P2E!G196</f>
        <v>0</v>
      </c>
      <c r="H196" s="1535">
        <f>P2E!H196</f>
        <v>373.99302182000008</v>
      </c>
    </row>
    <row r="197" spans="1:8">
      <c r="A197" s="1419" t="s">
        <v>1106</v>
      </c>
      <c r="B197" s="1401" t="s">
        <v>1488</v>
      </c>
      <c r="C197" s="1534">
        <f>P2E!C197</f>
        <v>0</v>
      </c>
      <c r="D197" s="1534">
        <f>P2E!D197</f>
        <v>0</v>
      </c>
      <c r="E197" s="1534">
        <f>P2E!E197</f>
        <v>137.88733596</v>
      </c>
      <c r="F197" s="1534">
        <f>P2E!F197</f>
        <v>0</v>
      </c>
      <c r="G197" s="1534">
        <f>P2E!G197</f>
        <v>0</v>
      </c>
      <c r="H197" s="1535">
        <f>P2E!H197</f>
        <v>137.88733596</v>
      </c>
    </row>
    <row r="198" spans="1:8">
      <c r="A198" s="1419" t="s">
        <v>1106</v>
      </c>
      <c r="B198" s="1401" t="s">
        <v>1711</v>
      </c>
      <c r="C198" s="1534">
        <f>P2E!C198</f>
        <v>123.70938602000001</v>
      </c>
      <c r="D198" s="1534">
        <f>P2E!D198</f>
        <v>0</v>
      </c>
      <c r="E198" s="1534">
        <f>P2E!E198</f>
        <v>0</v>
      </c>
      <c r="F198" s="1534">
        <f>P2E!F198</f>
        <v>0</v>
      </c>
      <c r="G198" s="1534">
        <f>P2E!G198</f>
        <v>0</v>
      </c>
      <c r="H198" s="1535">
        <f>P2E!H198</f>
        <v>123.70938602000001</v>
      </c>
    </row>
    <row r="199" spans="1:8">
      <c r="A199" s="1419" t="s">
        <v>1106</v>
      </c>
      <c r="B199" s="1401" t="s">
        <v>1712</v>
      </c>
      <c r="C199" s="1534">
        <f>P2E!C199</f>
        <v>0</v>
      </c>
      <c r="D199" s="1534">
        <f>P2E!D199</f>
        <v>0</v>
      </c>
      <c r="E199" s="1534">
        <f>P2E!E199</f>
        <v>93.306730000000016</v>
      </c>
      <c r="F199" s="1534">
        <f>P2E!F199</f>
        <v>0</v>
      </c>
      <c r="G199" s="1534">
        <f>P2E!G199</f>
        <v>0</v>
      </c>
      <c r="H199" s="1535">
        <f>P2E!H199</f>
        <v>93.306730000000016</v>
      </c>
    </row>
    <row r="200" spans="1:8">
      <c r="A200" s="1419" t="s">
        <v>1106</v>
      </c>
      <c r="B200" s="1401" t="s">
        <v>1713</v>
      </c>
      <c r="C200" s="1534">
        <f>P2E!C200</f>
        <v>0</v>
      </c>
      <c r="D200" s="1534">
        <f>P2E!D200</f>
        <v>0</v>
      </c>
      <c r="E200" s="1534">
        <f>P2E!E200</f>
        <v>124.44186920000003</v>
      </c>
      <c r="F200" s="1534">
        <f>P2E!F200</f>
        <v>0</v>
      </c>
      <c r="G200" s="1534">
        <f>P2E!G200</f>
        <v>0</v>
      </c>
      <c r="H200" s="1535">
        <f>P2E!H200</f>
        <v>124.44186920000003</v>
      </c>
    </row>
    <row r="201" spans="1:8">
      <c r="A201" s="1419" t="s">
        <v>1106</v>
      </c>
      <c r="B201" s="1401" t="s">
        <v>1545</v>
      </c>
      <c r="C201" s="1534">
        <f>P2E!C201</f>
        <v>140.18824050000003</v>
      </c>
      <c r="D201" s="1534">
        <f>P2E!D201</f>
        <v>0</v>
      </c>
      <c r="E201" s="1534">
        <f>P2E!E201</f>
        <v>0</v>
      </c>
      <c r="F201" s="1534">
        <f>P2E!F201</f>
        <v>0</v>
      </c>
      <c r="G201" s="1534">
        <f>P2E!G201</f>
        <v>0</v>
      </c>
      <c r="H201" s="1535">
        <f>P2E!H201</f>
        <v>140.18824050000003</v>
      </c>
    </row>
    <row r="202" spans="1:8">
      <c r="A202" s="1419" t="s">
        <v>1106</v>
      </c>
      <c r="B202" s="1401" t="s">
        <v>1501</v>
      </c>
      <c r="C202" s="1534">
        <f>P2E!C202</f>
        <v>81.426669280000013</v>
      </c>
      <c r="D202" s="1534">
        <f>P2E!D202</f>
        <v>0</v>
      </c>
      <c r="E202" s="1534">
        <f>P2E!E202</f>
        <v>0</v>
      </c>
      <c r="F202" s="1534">
        <f>P2E!F202</f>
        <v>0</v>
      </c>
      <c r="G202" s="1534">
        <f>P2E!G202</f>
        <v>0</v>
      </c>
      <c r="H202" s="1535">
        <f>P2E!H202</f>
        <v>81.426669280000013</v>
      </c>
    </row>
    <row r="203" spans="1:8">
      <c r="A203" s="1419" t="s">
        <v>1106</v>
      </c>
      <c r="B203" s="1401" t="s">
        <v>1443</v>
      </c>
      <c r="C203" s="1534">
        <f>P2E!C203</f>
        <v>312.49853008000002</v>
      </c>
      <c r="D203" s="1534">
        <f>P2E!D203</f>
        <v>0</v>
      </c>
      <c r="E203" s="1534">
        <f>P2E!E203</f>
        <v>0</v>
      </c>
      <c r="F203" s="1534">
        <f>P2E!F203</f>
        <v>0</v>
      </c>
      <c r="G203" s="1534">
        <f>P2E!G203</f>
        <v>0</v>
      </c>
      <c r="H203" s="1535">
        <f>P2E!H203</f>
        <v>312.49853008000002</v>
      </c>
    </row>
    <row r="204" spans="1:8">
      <c r="A204" s="1419" t="s">
        <v>1106</v>
      </c>
      <c r="B204" s="1401" t="s">
        <v>1523</v>
      </c>
      <c r="C204" s="1534">
        <f>P2E!C204</f>
        <v>226.41254284000004</v>
      </c>
      <c r="D204" s="1534">
        <f>P2E!D204</f>
        <v>0</v>
      </c>
      <c r="E204" s="1534">
        <f>P2E!E204</f>
        <v>0</v>
      </c>
      <c r="F204" s="1534">
        <f>P2E!F204</f>
        <v>0</v>
      </c>
      <c r="G204" s="1534">
        <f>P2E!G204</f>
        <v>0</v>
      </c>
      <c r="H204" s="1535">
        <f>P2E!H204</f>
        <v>226.41254284000004</v>
      </c>
    </row>
    <row r="205" spans="1:8">
      <c r="A205" s="1419" t="s">
        <v>1106</v>
      </c>
      <c r="B205" s="1401" t="s">
        <v>1540</v>
      </c>
      <c r="C205" s="1534">
        <f>P2E!C205</f>
        <v>89.441714120000029</v>
      </c>
      <c r="D205" s="1534">
        <f>P2E!D205</f>
        <v>0</v>
      </c>
      <c r="E205" s="1534">
        <f>P2E!E205</f>
        <v>0</v>
      </c>
      <c r="F205" s="1534">
        <f>P2E!F205</f>
        <v>0</v>
      </c>
      <c r="G205" s="1534">
        <f>P2E!G205</f>
        <v>0</v>
      </c>
      <c r="H205" s="1535">
        <f>P2E!H205</f>
        <v>89.441714120000029</v>
      </c>
    </row>
    <row r="206" spans="1:8">
      <c r="A206" s="1419" t="s">
        <v>1106</v>
      </c>
      <c r="B206" s="1401" t="s">
        <v>1714</v>
      </c>
      <c r="C206" s="1534">
        <f>P2E!C206</f>
        <v>215.04723064000004</v>
      </c>
      <c r="D206" s="1534">
        <f>P2E!D206</f>
        <v>0</v>
      </c>
      <c r="E206" s="1534">
        <f>P2E!E206</f>
        <v>0</v>
      </c>
      <c r="F206" s="1534">
        <f>P2E!F206</f>
        <v>0</v>
      </c>
      <c r="G206" s="1534">
        <f>P2E!G206</f>
        <v>0</v>
      </c>
      <c r="H206" s="1535">
        <f>P2E!H206</f>
        <v>215.04723064000004</v>
      </c>
    </row>
    <row r="207" spans="1:8">
      <c r="A207" s="1419" t="s">
        <v>1106</v>
      </c>
      <c r="B207" s="1401" t="s">
        <v>1544</v>
      </c>
      <c r="C207" s="1534">
        <f>P2E!C207</f>
        <v>521.8486911</v>
      </c>
      <c r="D207" s="1534">
        <f>P2E!D207</f>
        <v>0</v>
      </c>
      <c r="E207" s="1534">
        <f>P2E!E207</f>
        <v>0</v>
      </c>
      <c r="F207" s="1534">
        <f>P2E!F207</f>
        <v>0</v>
      </c>
      <c r="G207" s="1534">
        <f>P2E!G207</f>
        <v>0</v>
      </c>
      <c r="H207" s="1535">
        <f>P2E!H207</f>
        <v>521.8486911</v>
      </c>
    </row>
    <row r="208" spans="1:8" ht="15.75" thickBot="1">
      <c r="A208" s="1419" t="s">
        <v>1106</v>
      </c>
      <c r="B208" s="1401" t="s">
        <v>1718</v>
      </c>
      <c r="C208" s="1534">
        <f>P2E!C208</f>
        <v>110.95844958000002</v>
      </c>
      <c r="D208" s="1534">
        <f>P2E!D208</f>
        <v>0</v>
      </c>
      <c r="E208" s="1534">
        <f>P2E!E208</f>
        <v>0</v>
      </c>
      <c r="F208" s="1534">
        <f>P2E!F208</f>
        <v>0</v>
      </c>
      <c r="G208" s="1534">
        <f>P2E!G208</f>
        <v>0</v>
      </c>
      <c r="H208" s="1535">
        <f>P2E!H208</f>
        <v>110.95844958000002</v>
      </c>
    </row>
    <row r="209" spans="1:8" ht="15.75" thickBot="1">
      <c r="A209" s="1421" t="s">
        <v>1549</v>
      </c>
      <c r="B209" s="1422" t="s">
        <v>1550</v>
      </c>
      <c r="C209" s="1534">
        <f>P2E!C209</f>
        <v>19762.313879000001</v>
      </c>
      <c r="D209" s="1534">
        <f>P2E!D209</f>
        <v>104.46571520000002</v>
      </c>
      <c r="E209" s="1534">
        <f>P2E!E209</f>
        <v>22391.860893600002</v>
      </c>
      <c r="F209" s="1534">
        <f>P2E!F209</f>
        <v>56.017090800000005</v>
      </c>
      <c r="G209" s="1534">
        <f>P2E!G209</f>
        <v>1137.3146587000003</v>
      </c>
      <c r="H209" s="1535">
        <f>P2E!H209</f>
        <v>47683.437995160006</v>
      </c>
    </row>
    <row r="210" spans="1:8" ht="15.75" thickBot="1">
      <c r="A210" s="2361" t="s">
        <v>1715</v>
      </c>
      <c r="B210" s="2362"/>
      <c r="C210" s="2378"/>
      <c r="D210" s="2378"/>
      <c r="E210" s="2378"/>
      <c r="F210" s="2378"/>
      <c r="G210" s="2379"/>
      <c r="H210" s="1571">
        <f>P2E!H210</f>
        <v>2.9601132000000003</v>
      </c>
    </row>
    <row r="211" spans="1:8" ht="15.75" thickBot="1">
      <c r="A211" s="1423" t="s">
        <v>1025</v>
      </c>
      <c r="B211" s="1412"/>
      <c r="C211" s="1412"/>
      <c r="D211" s="1412"/>
      <c r="E211" s="1412"/>
      <c r="F211" s="1412"/>
      <c r="G211" s="1412"/>
      <c r="H211" s="1570">
        <f>P2E!H211</f>
        <v>43351.5401088</v>
      </c>
    </row>
  </sheetData>
  <mergeCells count="12">
    <mergeCell ref="E6:F6"/>
    <mergeCell ref="A210:G210"/>
    <mergeCell ref="A1:H1"/>
    <mergeCell ref="A2:H2"/>
    <mergeCell ref="A3:H3"/>
    <mergeCell ref="A4:H4"/>
    <mergeCell ref="A5:A7"/>
    <mergeCell ref="B5:B7"/>
    <mergeCell ref="C5:F5"/>
    <mergeCell ref="G5:G7"/>
    <mergeCell ref="H5:H7"/>
    <mergeCell ref="C6:D6"/>
  </mergeCells>
  <conditionalFormatting sqref="I1:I1048576">
    <cfRule type="duplicateValues" dxfId="0" priority="1"/>
  </conditionalFormatting>
  <pageMargins left="0.7" right="0.7" top="0.75" bottom="0.75" header="0.3" footer="0.3"/>
  <pageSetup scale="64" orientation="portrait" r:id="rId1"/>
  <rowBreaks count="1" manualBreakCount="1">
    <brk id="138" max="7"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F20"/>
  <sheetViews>
    <sheetView showGridLines="0" view="pageBreakPreview" zoomScale="80" zoomScaleNormal="85" zoomScaleSheetLayoutView="80" workbookViewId="0">
      <selection activeCell="G14" sqref="G14"/>
    </sheetView>
  </sheetViews>
  <sheetFormatPr defaultRowHeight="15"/>
  <cols>
    <col min="1" max="1" width="3.85546875" style="55" customWidth="1"/>
    <col min="2" max="2" width="38.140625" style="55" customWidth="1"/>
    <col min="3" max="3" width="13.5703125" style="55" customWidth="1"/>
    <col min="4" max="4" width="14.85546875" style="55" customWidth="1"/>
    <col min="5" max="5" width="11.42578125" style="55" customWidth="1"/>
    <col min="6" max="6" width="17.140625" style="55" customWidth="1"/>
    <col min="7" max="7" width="4.85546875" style="55" customWidth="1"/>
    <col min="8" max="256" width="9.140625" style="55"/>
    <col min="257" max="257" width="38.140625" style="55" customWidth="1"/>
    <col min="258" max="258" width="13.5703125" style="55" customWidth="1"/>
    <col min="259" max="259" width="14.85546875" style="55" customWidth="1"/>
    <col min="260" max="260" width="11.42578125" style="55" customWidth="1"/>
    <col min="261" max="262" width="12.85546875" style="55" customWidth="1"/>
    <col min="263" max="263" width="13.140625" style="55" customWidth="1"/>
    <col min="264" max="512" width="9.140625" style="55"/>
    <col min="513" max="513" width="38.140625" style="55" customWidth="1"/>
    <col min="514" max="514" width="13.5703125" style="55" customWidth="1"/>
    <col min="515" max="515" width="14.85546875" style="55" customWidth="1"/>
    <col min="516" max="516" width="11.42578125" style="55" customWidth="1"/>
    <col min="517" max="518" width="12.85546875" style="55" customWidth="1"/>
    <col min="519" max="519" width="13.140625" style="55" customWidth="1"/>
    <col min="520" max="768" width="9.140625" style="55"/>
    <col min="769" max="769" width="38.140625" style="55" customWidth="1"/>
    <col min="770" max="770" width="13.5703125" style="55" customWidth="1"/>
    <col min="771" max="771" width="14.85546875" style="55" customWidth="1"/>
    <col min="772" max="772" width="11.42578125" style="55" customWidth="1"/>
    <col min="773" max="774" width="12.85546875" style="55" customWidth="1"/>
    <col min="775" max="775" width="13.140625" style="55" customWidth="1"/>
    <col min="776" max="1024" width="9.140625" style="55"/>
    <col min="1025" max="1025" width="38.140625" style="55" customWidth="1"/>
    <col min="1026" max="1026" width="13.5703125" style="55" customWidth="1"/>
    <col min="1027" max="1027" width="14.85546875" style="55" customWidth="1"/>
    <col min="1028" max="1028" width="11.42578125" style="55" customWidth="1"/>
    <col min="1029" max="1030" width="12.85546875" style="55" customWidth="1"/>
    <col min="1031" max="1031" width="13.140625" style="55" customWidth="1"/>
    <col min="1032" max="1280" width="9.140625" style="55"/>
    <col min="1281" max="1281" width="38.140625" style="55" customWidth="1"/>
    <col min="1282" max="1282" width="13.5703125" style="55" customWidth="1"/>
    <col min="1283" max="1283" width="14.85546875" style="55" customWidth="1"/>
    <col min="1284" max="1284" width="11.42578125" style="55" customWidth="1"/>
    <col min="1285" max="1286" width="12.85546875" style="55" customWidth="1"/>
    <col min="1287" max="1287" width="13.140625" style="55" customWidth="1"/>
    <col min="1288" max="1536" width="9.140625" style="55"/>
    <col min="1537" max="1537" width="38.140625" style="55" customWidth="1"/>
    <col min="1538" max="1538" width="13.5703125" style="55" customWidth="1"/>
    <col min="1539" max="1539" width="14.85546875" style="55" customWidth="1"/>
    <col min="1540" max="1540" width="11.42578125" style="55" customWidth="1"/>
    <col min="1541" max="1542" width="12.85546875" style="55" customWidth="1"/>
    <col min="1543" max="1543" width="13.140625" style="55" customWidth="1"/>
    <col min="1544" max="1792" width="9.140625" style="55"/>
    <col min="1793" max="1793" width="38.140625" style="55" customWidth="1"/>
    <col min="1794" max="1794" width="13.5703125" style="55" customWidth="1"/>
    <col min="1795" max="1795" width="14.85546875" style="55" customWidth="1"/>
    <col min="1796" max="1796" width="11.42578125" style="55" customWidth="1"/>
    <col min="1797" max="1798" width="12.85546875" style="55" customWidth="1"/>
    <col min="1799" max="1799" width="13.140625" style="55" customWidth="1"/>
    <col min="1800" max="2048" width="9.140625" style="55"/>
    <col min="2049" max="2049" width="38.140625" style="55" customWidth="1"/>
    <col min="2050" max="2050" width="13.5703125" style="55" customWidth="1"/>
    <col min="2051" max="2051" width="14.85546875" style="55" customWidth="1"/>
    <col min="2052" max="2052" width="11.42578125" style="55" customWidth="1"/>
    <col min="2053" max="2054" width="12.85546875" style="55" customWidth="1"/>
    <col min="2055" max="2055" width="13.140625" style="55" customWidth="1"/>
    <col min="2056" max="2304" width="9.140625" style="55"/>
    <col min="2305" max="2305" width="38.140625" style="55" customWidth="1"/>
    <col min="2306" max="2306" width="13.5703125" style="55" customWidth="1"/>
    <col min="2307" max="2307" width="14.85546875" style="55" customWidth="1"/>
    <col min="2308" max="2308" width="11.42578125" style="55" customWidth="1"/>
    <col min="2309" max="2310" width="12.85546875" style="55" customWidth="1"/>
    <col min="2311" max="2311" width="13.140625" style="55" customWidth="1"/>
    <col min="2312" max="2560" width="9.140625" style="55"/>
    <col min="2561" max="2561" width="38.140625" style="55" customWidth="1"/>
    <col min="2562" max="2562" width="13.5703125" style="55" customWidth="1"/>
    <col min="2563" max="2563" width="14.85546875" style="55" customWidth="1"/>
    <col min="2564" max="2564" width="11.42578125" style="55" customWidth="1"/>
    <col min="2565" max="2566" width="12.85546875" style="55" customWidth="1"/>
    <col min="2567" max="2567" width="13.140625" style="55" customWidth="1"/>
    <col min="2568" max="2816" width="9.140625" style="55"/>
    <col min="2817" max="2817" width="38.140625" style="55" customWidth="1"/>
    <col min="2818" max="2818" width="13.5703125" style="55" customWidth="1"/>
    <col min="2819" max="2819" width="14.85546875" style="55" customWidth="1"/>
    <col min="2820" max="2820" width="11.42578125" style="55" customWidth="1"/>
    <col min="2821" max="2822" width="12.85546875" style="55" customWidth="1"/>
    <col min="2823" max="2823" width="13.140625" style="55" customWidth="1"/>
    <col min="2824" max="3072" width="9.140625" style="55"/>
    <col min="3073" max="3073" width="38.140625" style="55" customWidth="1"/>
    <col min="3074" max="3074" width="13.5703125" style="55" customWidth="1"/>
    <col min="3075" max="3075" width="14.85546875" style="55" customWidth="1"/>
    <col min="3076" max="3076" width="11.42578125" style="55" customWidth="1"/>
    <col min="3077" max="3078" width="12.85546875" style="55" customWidth="1"/>
    <col min="3079" max="3079" width="13.140625" style="55" customWidth="1"/>
    <col min="3080" max="3328" width="9.140625" style="55"/>
    <col min="3329" max="3329" width="38.140625" style="55" customWidth="1"/>
    <col min="3330" max="3330" width="13.5703125" style="55" customWidth="1"/>
    <col min="3331" max="3331" width="14.85546875" style="55" customWidth="1"/>
    <col min="3332" max="3332" width="11.42578125" style="55" customWidth="1"/>
    <col min="3333" max="3334" width="12.85546875" style="55" customWidth="1"/>
    <col min="3335" max="3335" width="13.140625" style="55" customWidth="1"/>
    <col min="3336" max="3584" width="9.140625" style="55"/>
    <col min="3585" max="3585" width="38.140625" style="55" customWidth="1"/>
    <col min="3586" max="3586" width="13.5703125" style="55" customWidth="1"/>
    <col min="3587" max="3587" width="14.85546875" style="55" customWidth="1"/>
    <col min="3588" max="3588" width="11.42578125" style="55" customWidth="1"/>
    <col min="3589" max="3590" width="12.85546875" style="55" customWidth="1"/>
    <col min="3591" max="3591" width="13.140625" style="55" customWidth="1"/>
    <col min="3592" max="3840" width="9.140625" style="55"/>
    <col min="3841" max="3841" width="38.140625" style="55" customWidth="1"/>
    <col min="3842" max="3842" width="13.5703125" style="55" customWidth="1"/>
    <col min="3843" max="3843" width="14.85546875" style="55" customWidth="1"/>
    <col min="3844" max="3844" width="11.42578125" style="55" customWidth="1"/>
    <col min="3845" max="3846" width="12.85546875" style="55" customWidth="1"/>
    <col min="3847" max="3847" width="13.140625" style="55" customWidth="1"/>
    <col min="3848" max="4096" width="9.140625" style="55"/>
    <col min="4097" max="4097" width="38.140625" style="55" customWidth="1"/>
    <col min="4098" max="4098" width="13.5703125" style="55" customWidth="1"/>
    <col min="4099" max="4099" width="14.85546875" style="55" customWidth="1"/>
    <col min="4100" max="4100" width="11.42578125" style="55" customWidth="1"/>
    <col min="4101" max="4102" width="12.85546875" style="55" customWidth="1"/>
    <col min="4103" max="4103" width="13.140625" style="55" customWidth="1"/>
    <col min="4104" max="4352" width="9.140625" style="55"/>
    <col min="4353" max="4353" width="38.140625" style="55" customWidth="1"/>
    <col min="4354" max="4354" width="13.5703125" style="55" customWidth="1"/>
    <col min="4355" max="4355" width="14.85546875" style="55" customWidth="1"/>
    <col min="4356" max="4356" width="11.42578125" style="55" customWidth="1"/>
    <col min="4357" max="4358" width="12.85546875" style="55" customWidth="1"/>
    <col min="4359" max="4359" width="13.140625" style="55" customWidth="1"/>
    <col min="4360" max="4608" width="9.140625" style="55"/>
    <col min="4609" max="4609" width="38.140625" style="55" customWidth="1"/>
    <col min="4610" max="4610" width="13.5703125" style="55" customWidth="1"/>
    <col min="4611" max="4611" width="14.85546875" style="55" customWidth="1"/>
    <col min="4612" max="4612" width="11.42578125" style="55" customWidth="1"/>
    <col min="4613" max="4614" width="12.85546875" style="55" customWidth="1"/>
    <col min="4615" max="4615" width="13.140625" style="55" customWidth="1"/>
    <col min="4616" max="4864" width="9.140625" style="55"/>
    <col min="4865" max="4865" width="38.140625" style="55" customWidth="1"/>
    <col min="4866" max="4866" width="13.5703125" style="55" customWidth="1"/>
    <col min="4867" max="4867" width="14.85546875" style="55" customWidth="1"/>
    <col min="4868" max="4868" width="11.42578125" style="55" customWidth="1"/>
    <col min="4869" max="4870" width="12.85546875" style="55" customWidth="1"/>
    <col min="4871" max="4871" width="13.140625" style="55" customWidth="1"/>
    <col min="4872" max="5120" width="9.140625" style="55"/>
    <col min="5121" max="5121" width="38.140625" style="55" customWidth="1"/>
    <col min="5122" max="5122" width="13.5703125" style="55" customWidth="1"/>
    <col min="5123" max="5123" width="14.85546875" style="55" customWidth="1"/>
    <col min="5124" max="5124" width="11.42578125" style="55" customWidth="1"/>
    <col min="5125" max="5126" width="12.85546875" style="55" customWidth="1"/>
    <col min="5127" max="5127" width="13.140625" style="55" customWidth="1"/>
    <col min="5128" max="5376" width="9.140625" style="55"/>
    <col min="5377" max="5377" width="38.140625" style="55" customWidth="1"/>
    <col min="5378" max="5378" width="13.5703125" style="55" customWidth="1"/>
    <col min="5379" max="5379" width="14.85546875" style="55" customWidth="1"/>
    <col min="5380" max="5380" width="11.42578125" style="55" customWidth="1"/>
    <col min="5381" max="5382" width="12.85546875" style="55" customWidth="1"/>
    <col min="5383" max="5383" width="13.140625" style="55" customWidth="1"/>
    <col min="5384" max="5632" width="9.140625" style="55"/>
    <col min="5633" max="5633" width="38.140625" style="55" customWidth="1"/>
    <col min="5634" max="5634" width="13.5703125" style="55" customWidth="1"/>
    <col min="5635" max="5635" width="14.85546875" style="55" customWidth="1"/>
    <col min="5636" max="5636" width="11.42578125" style="55" customWidth="1"/>
    <col min="5637" max="5638" width="12.85546875" style="55" customWidth="1"/>
    <col min="5639" max="5639" width="13.140625" style="55" customWidth="1"/>
    <col min="5640" max="5888" width="9.140625" style="55"/>
    <col min="5889" max="5889" width="38.140625" style="55" customWidth="1"/>
    <col min="5890" max="5890" width="13.5703125" style="55" customWidth="1"/>
    <col min="5891" max="5891" width="14.85546875" style="55" customWidth="1"/>
    <col min="5892" max="5892" width="11.42578125" style="55" customWidth="1"/>
    <col min="5893" max="5894" width="12.85546875" style="55" customWidth="1"/>
    <col min="5895" max="5895" width="13.140625" style="55" customWidth="1"/>
    <col min="5896" max="6144" width="9.140625" style="55"/>
    <col min="6145" max="6145" width="38.140625" style="55" customWidth="1"/>
    <col min="6146" max="6146" width="13.5703125" style="55" customWidth="1"/>
    <col min="6147" max="6147" width="14.85546875" style="55" customWidth="1"/>
    <col min="6148" max="6148" width="11.42578125" style="55" customWidth="1"/>
    <col min="6149" max="6150" width="12.85546875" style="55" customWidth="1"/>
    <col min="6151" max="6151" width="13.140625" style="55" customWidth="1"/>
    <col min="6152" max="6400" width="9.140625" style="55"/>
    <col min="6401" max="6401" width="38.140625" style="55" customWidth="1"/>
    <col min="6402" max="6402" width="13.5703125" style="55" customWidth="1"/>
    <col min="6403" max="6403" width="14.85546875" style="55" customWidth="1"/>
    <col min="6404" max="6404" width="11.42578125" style="55" customWidth="1"/>
    <col min="6405" max="6406" width="12.85546875" style="55" customWidth="1"/>
    <col min="6407" max="6407" width="13.140625" style="55" customWidth="1"/>
    <col min="6408" max="6656" width="9.140625" style="55"/>
    <col min="6657" max="6657" width="38.140625" style="55" customWidth="1"/>
    <col min="6658" max="6658" width="13.5703125" style="55" customWidth="1"/>
    <col min="6659" max="6659" width="14.85546875" style="55" customWidth="1"/>
    <col min="6660" max="6660" width="11.42578125" style="55" customWidth="1"/>
    <col min="6661" max="6662" width="12.85546875" style="55" customWidth="1"/>
    <col min="6663" max="6663" width="13.140625" style="55" customWidth="1"/>
    <col min="6664" max="6912" width="9.140625" style="55"/>
    <col min="6913" max="6913" width="38.140625" style="55" customWidth="1"/>
    <col min="6914" max="6914" width="13.5703125" style="55" customWidth="1"/>
    <col min="6915" max="6915" width="14.85546875" style="55" customWidth="1"/>
    <col min="6916" max="6916" width="11.42578125" style="55" customWidth="1"/>
    <col min="6917" max="6918" width="12.85546875" style="55" customWidth="1"/>
    <col min="6919" max="6919" width="13.140625" style="55" customWidth="1"/>
    <col min="6920" max="7168" width="9.140625" style="55"/>
    <col min="7169" max="7169" width="38.140625" style="55" customWidth="1"/>
    <col min="7170" max="7170" width="13.5703125" style="55" customWidth="1"/>
    <col min="7171" max="7171" width="14.85546875" style="55" customWidth="1"/>
    <col min="7172" max="7172" width="11.42578125" style="55" customWidth="1"/>
    <col min="7173" max="7174" width="12.85546875" style="55" customWidth="1"/>
    <col min="7175" max="7175" width="13.140625" style="55" customWidth="1"/>
    <col min="7176" max="7424" width="9.140625" style="55"/>
    <col min="7425" max="7425" width="38.140625" style="55" customWidth="1"/>
    <col min="7426" max="7426" width="13.5703125" style="55" customWidth="1"/>
    <col min="7427" max="7427" width="14.85546875" style="55" customWidth="1"/>
    <col min="7428" max="7428" width="11.42578125" style="55" customWidth="1"/>
    <col min="7429" max="7430" width="12.85546875" style="55" customWidth="1"/>
    <col min="7431" max="7431" width="13.140625" style="55" customWidth="1"/>
    <col min="7432" max="7680" width="9.140625" style="55"/>
    <col min="7681" max="7681" width="38.140625" style="55" customWidth="1"/>
    <col min="7682" max="7682" width="13.5703125" style="55" customWidth="1"/>
    <col min="7683" max="7683" width="14.85546875" style="55" customWidth="1"/>
    <col min="7684" max="7684" width="11.42578125" style="55" customWidth="1"/>
    <col min="7685" max="7686" width="12.85546875" style="55" customWidth="1"/>
    <col min="7687" max="7687" width="13.140625" style="55" customWidth="1"/>
    <col min="7688" max="7936" width="9.140625" style="55"/>
    <col min="7937" max="7937" width="38.140625" style="55" customWidth="1"/>
    <col min="7938" max="7938" width="13.5703125" style="55" customWidth="1"/>
    <col min="7939" max="7939" width="14.85546875" style="55" customWidth="1"/>
    <col min="7940" max="7940" width="11.42578125" style="55" customWidth="1"/>
    <col min="7941" max="7942" width="12.85546875" style="55" customWidth="1"/>
    <col min="7943" max="7943" width="13.140625" style="55" customWidth="1"/>
    <col min="7944" max="8192" width="9.140625" style="55"/>
    <col min="8193" max="8193" width="38.140625" style="55" customWidth="1"/>
    <col min="8194" max="8194" width="13.5703125" style="55" customWidth="1"/>
    <col min="8195" max="8195" width="14.85546875" style="55" customWidth="1"/>
    <col min="8196" max="8196" width="11.42578125" style="55" customWidth="1"/>
    <col min="8197" max="8198" width="12.85546875" style="55" customWidth="1"/>
    <col min="8199" max="8199" width="13.140625" style="55" customWidth="1"/>
    <col min="8200" max="8448" width="9.140625" style="55"/>
    <col min="8449" max="8449" width="38.140625" style="55" customWidth="1"/>
    <col min="8450" max="8450" width="13.5703125" style="55" customWidth="1"/>
    <col min="8451" max="8451" width="14.85546875" style="55" customWidth="1"/>
    <col min="8452" max="8452" width="11.42578125" style="55" customWidth="1"/>
    <col min="8453" max="8454" width="12.85546875" style="55" customWidth="1"/>
    <col min="8455" max="8455" width="13.140625" style="55" customWidth="1"/>
    <col min="8456" max="8704" width="9.140625" style="55"/>
    <col min="8705" max="8705" width="38.140625" style="55" customWidth="1"/>
    <col min="8706" max="8706" width="13.5703125" style="55" customWidth="1"/>
    <col min="8707" max="8707" width="14.85546875" style="55" customWidth="1"/>
    <col min="8708" max="8708" width="11.42578125" style="55" customWidth="1"/>
    <col min="8709" max="8710" width="12.85546875" style="55" customWidth="1"/>
    <col min="8711" max="8711" width="13.140625" style="55" customWidth="1"/>
    <col min="8712" max="8960" width="9.140625" style="55"/>
    <col min="8961" max="8961" width="38.140625" style="55" customWidth="1"/>
    <col min="8962" max="8962" width="13.5703125" style="55" customWidth="1"/>
    <col min="8963" max="8963" width="14.85546875" style="55" customWidth="1"/>
    <col min="8964" max="8964" width="11.42578125" style="55" customWidth="1"/>
    <col min="8965" max="8966" width="12.85546875" style="55" customWidth="1"/>
    <col min="8967" max="8967" width="13.140625" style="55" customWidth="1"/>
    <col min="8968" max="9216" width="9.140625" style="55"/>
    <col min="9217" max="9217" width="38.140625" style="55" customWidth="1"/>
    <col min="9218" max="9218" width="13.5703125" style="55" customWidth="1"/>
    <col min="9219" max="9219" width="14.85546875" style="55" customWidth="1"/>
    <col min="9220" max="9220" width="11.42578125" style="55" customWidth="1"/>
    <col min="9221" max="9222" width="12.85546875" style="55" customWidth="1"/>
    <col min="9223" max="9223" width="13.140625" style="55" customWidth="1"/>
    <col min="9224" max="9472" width="9.140625" style="55"/>
    <col min="9473" max="9473" width="38.140625" style="55" customWidth="1"/>
    <col min="9474" max="9474" width="13.5703125" style="55" customWidth="1"/>
    <col min="9475" max="9475" width="14.85546875" style="55" customWidth="1"/>
    <col min="9476" max="9476" width="11.42578125" style="55" customWidth="1"/>
    <col min="9477" max="9478" width="12.85546875" style="55" customWidth="1"/>
    <col min="9479" max="9479" width="13.140625" style="55" customWidth="1"/>
    <col min="9480" max="9728" width="9.140625" style="55"/>
    <col min="9729" max="9729" width="38.140625" style="55" customWidth="1"/>
    <col min="9730" max="9730" width="13.5703125" style="55" customWidth="1"/>
    <col min="9731" max="9731" width="14.85546875" style="55" customWidth="1"/>
    <col min="9732" max="9732" width="11.42578125" style="55" customWidth="1"/>
    <col min="9733" max="9734" width="12.85546875" style="55" customWidth="1"/>
    <col min="9735" max="9735" width="13.140625" style="55" customWidth="1"/>
    <col min="9736" max="9984" width="9.140625" style="55"/>
    <col min="9985" max="9985" width="38.140625" style="55" customWidth="1"/>
    <col min="9986" max="9986" width="13.5703125" style="55" customWidth="1"/>
    <col min="9987" max="9987" width="14.85546875" style="55" customWidth="1"/>
    <col min="9988" max="9988" width="11.42578125" style="55" customWidth="1"/>
    <col min="9989" max="9990" width="12.85546875" style="55" customWidth="1"/>
    <col min="9991" max="9991" width="13.140625" style="55" customWidth="1"/>
    <col min="9992" max="10240" width="9.140625" style="55"/>
    <col min="10241" max="10241" width="38.140625" style="55" customWidth="1"/>
    <col min="10242" max="10242" width="13.5703125" style="55" customWidth="1"/>
    <col min="10243" max="10243" width="14.85546875" style="55" customWidth="1"/>
    <col min="10244" max="10244" width="11.42578125" style="55" customWidth="1"/>
    <col min="10245" max="10246" width="12.85546875" style="55" customWidth="1"/>
    <col min="10247" max="10247" width="13.140625" style="55" customWidth="1"/>
    <col min="10248" max="10496" width="9.140625" style="55"/>
    <col min="10497" max="10497" width="38.140625" style="55" customWidth="1"/>
    <col min="10498" max="10498" width="13.5703125" style="55" customWidth="1"/>
    <col min="10499" max="10499" width="14.85546875" style="55" customWidth="1"/>
    <col min="10500" max="10500" width="11.42578125" style="55" customWidth="1"/>
    <col min="10501" max="10502" width="12.85546875" style="55" customWidth="1"/>
    <col min="10503" max="10503" width="13.140625" style="55" customWidth="1"/>
    <col min="10504" max="10752" width="9.140625" style="55"/>
    <col min="10753" max="10753" width="38.140625" style="55" customWidth="1"/>
    <col min="10754" max="10754" width="13.5703125" style="55" customWidth="1"/>
    <col min="10755" max="10755" width="14.85546875" style="55" customWidth="1"/>
    <col min="10756" max="10756" width="11.42578125" style="55" customWidth="1"/>
    <col min="10757" max="10758" width="12.85546875" style="55" customWidth="1"/>
    <col min="10759" max="10759" width="13.140625" style="55" customWidth="1"/>
    <col min="10760" max="11008" width="9.140625" style="55"/>
    <col min="11009" max="11009" width="38.140625" style="55" customWidth="1"/>
    <col min="11010" max="11010" width="13.5703125" style="55" customWidth="1"/>
    <col min="11011" max="11011" width="14.85546875" style="55" customWidth="1"/>
    <col min="11012" max="11012" width="11.42578125" style="55" customWidth="1"/>
    <col min="11013" max="11014" width="12.85546875" style="55" customWidth="1"/>
    <col min="11015" max="11015" width="13.140625" style="55" customWidth="1"/>
    <col min="11016" max="11264" width="9.140625" style="55"/>
    <col min="11265" max="11265" width="38.140625" style="55" customWidth="1"/>
    <col min="11266" max="11266" width="13.5703125" style="55" customWidth="1"/>
    <col min="11267" max="11267" width="14.85546875" style="55" customWidth="1"/>
    <col min="11268" max="11268" width="11.42578125" style="55" customWidth="1"/>
    <col min="11269" max="11270" width="12.85546875" style="55" customWidth="1"/>
    <col min="11271" max="11271" width="13.140625" style="55" customWidth="1"/>
    <col min="11272" max="11520" width="9.140625" style="55"/>
    <col min="11521" max="11521" width="38.140625" style="55" customWidth="1"/>
    <col min="11522" max="11522" width="13.5703125" style="55" customWidth="1"/>
    <col min="11523" max="11523" width="14.85546875" style="55" customWidth="1"/>
    <col min="11524" max="11524" width="11.42578125" style="55" customWidth="1"/>
    <col min="11525" max="11526" width="12.85546875" style="55" customWidth="1"/>
    <col min="11527" max="11527" width="13.140625" style="55" customWidth="1"/>
    <col min="11528" max="11776" width="9.140625" style="55"/>
    <col min="11777" max="11777" width="38.140625" style="55" customWidth="1"/>
    <col min="11778" max="11778" width="13.5703125" style="55" customWidth="1"/>
    <col min="11779" max="11779" width="14.85546875" style="55" customWidth="1"/>
    <col min="11780" max="11780" width="11.42578125" style="55" customWidth="1"/>
    <col min="11781" max="11782" width="12.85546875" style="55" customWidth="1"/>
    <col min="11783" max="11783" width="13.140625" style="55" customWidth="1"/>
    <col min="11784" max="12032" width="9.140625" style="55"/>
    <col min="12033" max="12033" width="38.140625" style="55" customWidth="1"/>
    <col min="12034" max="12034" width="13.5703125" style="55" customWidth="1"/>
    <col min="12035" max="12035" width="14.85546875" style="55" customWidth="1"/>
    <col min="12036" max="12036" width="11.42578125" style="55" customWidth="1"/>
    <col min="12037" max="12038" width="12.85546875" style="55" customWidth="1"/>
    <col min="12039" max="12039" width="13.140625" style="55" customWidth="1"/>
    <col min="12040" max="12288" width="9.140625" style="55"/>
    <col min="12289" max="12289" width="38.140625" style="55" customWidth="1"/>
    <col min="12290" max="12290" width="13.5703125" style="55" customWidth="1"/>
    <col min="12291" max="12291" width="14.85546875" style="55" customWidth="1"/>
    <col min="12292" max="12292" width="11.42578125" style="55" customWidth="1"/>
    <col min="12293" max="12294" width="12.85546875" style="55" customWidth="1"/>
    <col min="12295" max="12295" width="13.140625" style="55" customWidth="1"/>
    <col min="12296" max="12544" width="9.140625" style="55"/>
    <col min="12545" max="12545" width="38.140625" style="55" customWidth="1"/>
    <col min="12546" max="12546" width="13.5703125" style="55" customWidth="1"/>
    <col min="12547" max="12547" width="14.85546875" style="55" customWidth="1"/>
    <col min="12548" max="12548" width="11.42578125" style="55" customWidth="1"/>
    <col min="12549" max="12550" width="12.85546875" style="55" customWidth="1"/>
    <col min="12551" max="12551" width="13.140625" style="55" customWidth="1"/>
    <col min="12552" max="12800" width="9.140625" style="55"/>
    <col min="12801" max="12801" width="38.140625" style="55" customWidth="1"/>
    <col min="12802" max="12802" width="13.5703125" style="55" customWidth="1"/>
    <col min="12803" max="12803" width="14.85546875" style="55" customWidth="1"/>
    <col min="12804" max="12804" width="11.42578125" style="55" customWidth="1"/>
    <col min="12805" max="12806" width="12.85546875" style="55" customWidth="1"/>
    <col min="12807" max="12807" width="13.140625" style="55" customWidth="1"/>
    <col min="12808" max="13056" width="9.140625" style="55"/>
    <col min="13057" max="13057" width="38.140625" style="55" customWidth="1"/>
    <col min="13058" max="13058" width="13.5703125" style="55" customWidth="1"/>
    <col min="13059" max="13059" width="14.85546875" style="55" customWidth="1"/>
    <col min="13060" max="13060" width="11.42578125" style="55" customWidth="1"/>
    <col min="13061" max="13062" width="12.85546875" style="55" customWidth="1"/>
    <col min="13063" max="13063" width="13.140625" style="55" customWidth="1"/>
    <col min="13064" max="13312" width="9.140625" style="55"/>
    <col min="13313" max="13313" width="38.140625" style="55" customWidth="1"/>
    <col min="13314" max="13314" width="13.5703125" style="55" customWidth="1"/>
    <col min="13315" max="13315" width="14.85546875" style="55" customWidth="1"/>
    <col min="13316" max="13316" width="11.42578125" style="55" customWidth="1"/>
    <col min="13317" max="13318" width="12.85546875" style="55" customWidth="1"/>
    <col min="13319" max="13319" width="13.140625" style="55" customWidth="1"/>
    <col min="13320" max="13568" width="9.140625" style="55"/>
    <col min="13569" max="13569" width="38.140625" style="55" customWidth="1"/>
    <col min="13570" max="13570" width="13.5703125" style="55" customWidth="1"/>
    <col min="13571" max="13571" width="14.85546875" style="55" customWidth="1"/>
    <col min="13572" max="13572" width="11.42578125" style="55" customWidth="1"/>
    <col min="13573" max="13574" width="12.85546875" style="55" customWidth="1"/>
    <col min="13575" max="13575" width="13.140625" style="55" customWidth="1"/>
    <col min="13576" max="13824" width="9.140625" style="55"/>
    <col min="13825" max="13825" width="38.140625" style="55" customWidth="1"/>
    <col min="13826" max="13826" width="13.5703125" style="55" customWidth="1"/>
    <col min="13827" max="13827" width="14.85546875" style="55" customWidth="1"/>
    <col min="13828" max="13828" width="11.42578125" style="55" customWidth="1"/>
    <col min="13829" max="13830" width="12.85546875" style="55" customWidth="1"/>
    <col min="13831" max="13831" width="13.140625" style="55" customWidth="1"/>
    <col min="13832" max="14080" width="9.140625" style="55"/>
    <col min="14081" max="14081" width="38.140625" style="55" customWidth="1"/>
    <col min="14082" max="14082" width="13.5703125" style="55" customWidth="1"/>
    <col min="14083" max="14083" width="14.85546875" style="55" customWidth="1"/>
    <col min="14084" max="14084" width="11.42578125" style="55" customWidth="1"/>
    <col min="14085" max="14086" width="12.85546875" style="55" customWidth="1"/>
    <col min="14087" max="14087" width="13.140625" style="55" customWidth="1"/>
    <col min="14088" max="14336" width="9.140625" style="55"/>
    <col min="14337" max="14337" width="38.140625" style="55" customWidth="1"/>
    <col min="14338" max="14338" width="13.5703125" style="55" customWidth="1"/>
    <col min="14339" max="14339" width="14.85546875" style="55" customWidth="1"/>
    <col min="14340" max="14340" width="11.42578125" style="55" customWidth="1"/>
    <col min="14341" max="14342" width="12.85546875" style="55" customWidth="1"/>
    <col min="14343" max="14343" width="13.140625" style="55" customWidth="1"/>
    <col min="14344" max="14592" width="9.140625" style="55"/>
    <col min="14593" max="14593" width="38.140625" style="55" customWidth="1"/>
    <col min="14594" max="14594" width="13.5703125" style="55" customWidth="1"/>
    <col min="14595" max="14595" width="14.85546875" style="55" customWidth="1"/>
    <col min="14596" max="14596" width="11.42578125" style="55" customWidth="1"/>
    <col min="14597" max="14598" width="12.85546875" style="55" customWidth="1"/>
    <col min="14599" max="14599" width="13.140625" style="55" customWidth="1"/>
    <col min="14600" max="14848" width="9.140625" style="55"/>
    <col min="14849" max="14849" width="38.140625" style="55" customWidth="1"/>
    <col min="14850" max="14850" width="13.5703125" style="55" customWidth="1"/>
    <col min="14851" max="14851" width="14.85546875" style="55" customWidth="1"/>
    <col min="14852" max="14852" width="11.42578125" style="55" customWidth="1"/>
    <col min="14853" max="14854" width="12.85546875" style="55" customWidth="1"/>
    <col min="14855" max="14855" width="13.140625" style="55" customWidth="1"/>
    <col min="14856" max="15104" width="9.140625" style="55"/>
    <col min="15105" max="15105" width="38.140625" style="55" customWidth="1"/>
    <col min="15106" max="15106" width="13.5703125" style="55" customWidth="1"/>
    <col min="15107" max="15107" width="14.85546875" style="55" customWidth="1"/>
    <col min="15108" max="15108" width="11.42578125" style="55" customWidth="1"/>
    <col min="15109" max="15110" width="12.85546875" style="55" customWidth="1"/>
    <col min="15111" max="15111" width="13.140625" style="55" customWidth="1"/>
    <col min="15112" max="15360" width="9.140625" style="55"/>
    <col min="15361" max="15361" width="38.140625" style="55" customWidth="1"/>
    <col min="15362" max="15362" width="13.5703125" style="55" customWidth="1"/>
    <col min="15363" max="15363" width="14.85546875" style="55" customWidth="1"/>
    <col min="15364" max="15364" width="11.42578125" style="55" customWidth="1"/>
    <col min="15365" max="15366" width="12.85546875" style="55" customWidth="1"/>
    <col min="15367" max="15367" width="13.140625" style="55" customWidth="1"/>
    <col min="15368" max="15616" width="9.140625" style="55"/>
    <col min="15617" max="15617" width="38.140625" style="55" customWidth="1"/>
    <col min="15618" max="15618" width="13.5703125" style="55" customWidth="1"/>
    <col min="15619" max="15619" width="14.85546875" style="55" customWidth="1"/>
    <col min="15620" max="15620" width="11.42578125" style="55" customWidth="1"/>
    <col min="15621" max="15622" width="12.85546875" style="55" customWidth="1"/>
    <col min="15623" max="15623" width="13.140625" style="55" customWidth="1"/>
    <col min="15624" max="15872" width="9.140625" style="55"/>
    <col min="15873" max="15873" width="38.140625" style="55" customWidth="1"/>
    <col min="15874" max="15874" width="13.5703125" style="55" customWidth="1"/>
    <col min="15875" max="15875" width="14.85546875" style="55" customWidth="1"/>
    <col min="15876" max="15876" width="11.42578125" style="55" customWidth="1"/>
    <col min="15877" max="15878" width="12.85546875" style="55" customWidth="1"/>
    <col min="15879" max="15879" width="13.140625" style="55" customWidth="1"/>
    <col min="15880" max="16128" width="9.140625" style="55"/>
    <col min="16129" max="16129" width="38.140625" style="55" customWidth="1"/>
    <col min="16130" max="16130" width="13.5703125" style="55" customWidth="1"/>
    <col min="16131" max="16131" width="14.85546875" style="55" customWidth="1"/>
    <col min="16132" max="16132" width="11.42578125" style="55" customWidth="1"/>
    <col min="16133" max="16134" width="12.85546875" style="55" customWidth="1"/>
    <col min="16135" max="16135" width="13.140625" style="55" customWidth="1"/>
    <col min="16136" max="16384" width="9.140625" style="55"/>
  </cols>
  <sheetData>
    <row r="2" spans="2:6" ht="18">
      <c r="B2" s="2404" t="s">
        <v>1158</v>
      </c>
      <c r="C2" s="2404"/>
      <c r="D2" s="2404"/>
      <c r="E2" s="2404"/>
      <c r="F2" s="2404"/>
    </row>
    <row r="3" spans="2:6" ht="36">
      <c r="B3" s="1455" t="s">
        <v>436</v>
      </c>
      <c r="C3" s="1455"/>
      <c r="D3" s="1455"/>
      <c r="E3" s="1455"/>
      <c r="F3" s="1456" t="s">
        <v>1019</v>
      </c>
    </row>
    <row r="5" spans="2:6" ht="15.75">
      <c r="B5" s="2405" t="s">
        <v>1020</v>
      </c>
      <c r="C5" s="2405" t="s">
        <v>1108</v>
      </c>
      <c r="D5" s="2405"/>
      <c r="E5" s="2405" t="s">
        <v>2287</v>
      </c>
      <c r="F5" s="2405"/>
    </row>
    <row r="6" spans="2:6" ht="15.75">
      <c r="B6" s="2405"/>
      <c r="C6" s="2405" t="s">
        <v>1551</v>
      </c>
      <c r="D6" s="2405"/>
      <c r="E6" s="2405" t="s">
        <v>1551</v>
      </c>
      <c r="F6" s="2405"/>
    </row>
    <row r="7" spans="2:6" ht="15.75">
      <c r="B7" s="2405"/>
      <c r="C7" s="622" t="s">
        <v>1021</v>
      </c>
      <c r="D7" s="622" t="s">
        <v>1022</v>
      </c>
      <c r="E7" s="622" t="s">
        <v>1021</v>
      </c>
      <c r="F7" s="622" t="s">
        <v>1022</v>
      </c>
    </row>
    <row r="8" spans="2:6" ht="15.75">
      <c r="B8" s="622" t="s">
        <v>1023</v>
      </c>
      <c r="C8" s="622">
        <v>2</v>
      </c>
      <c r="D8" s="622" t="s">
        <v>973</v>
      </c>
      <c r="E8" s="622">
        <v>1</v>
      </c>
      <c r="F8" s="622" t="s">
        <v>973</v>
      </c>
    </row>
    <row r="9" spans="2:6" ht="15.75">
      <c r="B9" s="622" t="s">
        <v>1024</v>
      </c>
      <c r="C9" s="622" t="s">
        <v>973</v>
      </c>
      <c r="D9" s="622" t="s">
        <v>973</v>
      </c>
      <c r="E9" s="622" t="s">
        <v>973</v>
      </c>
      <c r="F9" s="622" t="s">
        <v>973</v>
      </c>
    </row>
    <row r="10" spans="2:6" ht="15.75">
      <c r="B10" s="856" t="s">
        <v>1025</v>
      </c>
      <c r="C10" s="856">
        <v>2</v>
      </c>
      <c r="D10" s="856" t="s">
        <v>973</v>
      </c>
      <c r="E10" s="856">
        <v>1</v>
      </c>
      <c r="F10" s="622" t="s">
        <v>973</v>
      </c>
    </row>
    <row r="11" spans="2:6" ht="18">
      <c r="B11" s="1457"/>
      <c r="C11" s="1458"/>
      <c r="D11" s="1458"/>
      <c r="E11" s="1458"/>
      <c r="F11" s="1458"/>
    </row>
    <row r="13" spans="2:6">
      <c r="B13" s="156"/>
      <c r="C13" s="156"/>
      <c r="D13" s="156"/>
      <c r="E13" s="156"/>
      <c r="F13" s="156"/>
    </row>
    <row r="14" spans="2:6" ht="35.25" customHeight="1">
      <c r="B14" s="156"/>
      <c r="C14" s="156"/>
      <c r="D14" s="156"/>
      <c r="E14" s="156"/>
      <c r="F14" s="156"/>
    </row>
    <row r="15" spans="2:6" ht="35.25" customHeight="1">
      <c r="B15" s="156"/>
      <c r="C15" s="156"/>
      <c r="D15" s="156"/>
      <c r="E15" s="156"/>
      <c r="F15" s="156"/>
    </row>
    <row r="16" spans="2:6">
      <c r="B16" s="156"/>
      <c r="C16" s="156"/>
      <c r="D16" s="156"/>
      <c r="E16" s="156"/>
      <c r="F16" s="156"/>
    </row>
    <row r="20" spans="4:6" ht="18">
      <c r="D20" s="2403" t="s">
        <v>1097</v>
      </c>
      <c r="E20" s="2403"/>
      <c r="F20" s="2403"/>
    </row>
  </sheetData>
  <mergeCells count="7">
    <mergeCell ref="D20:F20"/>
    <mergeCell ref="B2:F2"/>
    <mergeCell ref="B5:B7"/>
    <mergeCell ref="C5:D5"/>
    <mergeCell ref="E5:F5"/>
    <mergeCell ref="C6:D6"/>
    <mergeCell ref="E6:F6"/>
  </mergeCells>
  <pageMargins left="0.70866141732283472" right="0.70866141732283472" top="0.74803149606299213" bottom="0.74803149606299213" header="0.31496062992125984" footer="0.31496062992125984"/>
  <pageSetup paperSize="9" scale="84"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K17"/>
  <sheetViews>
    <sheetView showGridLines="0" view="pageBreakPreview" zoomScale="80" zoomScaleNormal="55" zoomScaleSheetLayoutView="80" workbookViewId="0">
      <selection activeCell="J9" sqref="J9"/>
    </sheetView>
  </sheetViews>
  <sheetFormatPr defaultRowHeight="15"/>
  <cols>
    <col min="1" max="1" width="3.42578125" style="1459" customWidth="1"/>
    <col min="2" max="2" width="11.7109375" style="1459" customWidth="1"/>
    <col min="3" max="3" width="34.85546875" style="1459" bestFit="1" customWidth="1"/>
    <col min="4" max="5" width="9.140625" style="1459"/>
    <col min="6" max="6" width="19.42578125" style="1459" bestFit="1" customWidth="1"/>
    <col min="7" max="7" width="23" style="1459" bestFit="1" customWidth="1"/>
    <col min="8" max="9" width="9.140625" style="1459"/>
    <col min="10" max="10" width="19.42578125" style="1459" bestFit="1" customWidth="1"/>
    <col min="11" max="11" width="19" style="1459" bestFit="1" customWidth="1"/>
    <col min="12" max="252" width="9.140625" style="1459"/>
    <col min="253" max="253" width="11.7109375" style="1459" customWidth="1"/>
    <col min="254" max="254" width="15.85546875" style="1459" customWidth="1"/>
    <col min="255" max="256" width="9.140625" style="1459"/>
    <col min="257" max="257" width="14.28515625" style="1459" customWidth="1"/>
    <col min="258" max="258" width="14.140625" style="1459" customWidth="1"/>
    <col min="259" max="260" width="9.140625" style="1459"/>
    <col min="261" max="261" width="16.140625" style="1459" customWidth="1"/>
    <col min="262" max="262" width="16.28515625" style="1459" customWidth="1"/>
    <col min="263" max="263" width="14" style="1459" customWidth="1"/>
    <col min="264" max="264" width="9.140625" style="1459"/>
    <col min="265" max="265" width="13.5703125" style="1459" customWidth="1"/>
    <col min="266" max="266" width="15.42578125" style="1459" customWidth="1"/>
    <col min="267" max="508" width="9.140625" style="1459"/>
    <col min="509" max="509" width="11.7109375" style="1459" customWidth="1"/>
    <col min="510" max="510" width="15.85546875" style="1459" customWidth="1"/>
    <col min="511" max="512" width="9.140625" style="1459"/>
    <col min="513" max="513" width="14.28515625" style="1459" customWidth="1"/>
    <col min="514" max="514" width="14.140625" style="1459" customWidth="1"/>
    <col min="515" max="516" width="9.140625" style="1459"/>
    <col min="517" max="517" width="16.140625" style="1459" customWidth="1"/>
    <col min="518" max="518" width="16.28515625" style="1459" customWidth="1"/>
    <col min="519" max="519" width="14" style="1459" customWidth="1"/>
    <col min="520" max="520" width="9.140625" style="1459"/>
    <col min="521" max="521" width="13.5703125" style="1459" customWidth="1"/>
    <col min="522" max="522" width="15.42578125" style="1459" customWidth="1"/>
    <col min="523" max="764" width="9.140625" style="1459"/>
    <col min="765" max="765" width="11.7109375" style="1459" customWidth="1"/>
    <col min="766" max="766" width="15.85546875" style="1459" customWidth="1"/>
    <col min="767" max="768" width="9.140625" style="1459"/>
    <col min="769" max="769" width="14.28515625" style="1459" customWidth="1"/>
    <col min="770" max="770" width="14.140625" style="1459" customWidth="1"/>
    <col min="771" max="772" width="9.140625" style="1459"/>
    <col min="773" max="773" width="16.140625" style="1459" customWidth="1"/>
    <col min="774" max="774" width="16.28515625" style="1459" customWidth="1"/>
    <col min="775" max="775" width="14" style="1459" customWidth="1"/>
    <col min="776" max="776" width="9.140625" style="1459"/>
    <col min="777" max="777" width="13.5703125" style="1459" customWidth="1"/>
    <col min="778" max="778" width="15.42578125" style="1459" customWidth="1"/>
    <col min="779" max="1020" width="9.140625" style="1459"/>
    <col min="1021" max="1021" width="11.7109375" style="1459" customWidth="1"/>
    <col min="1022" max="1022" width="15.85546875" style="1459" customWidth="1"/>
    <col min="1023" max="1024" width="9.140625" style="1459"/>
    <col min="1025" max="1025" width="14.28515625" style="1459" customWidth="1"/>
    <col min="1026" max="1026" width="14.140625" style="1459" customWidth="1"/>
    <col min="1027" max="1028" width="9.140625" style="1459"/>
    <col min="1029" max="1029" width="16.140625" style="1459" customWidth="1"/>
    <col min="1030" max="1030" width="16.28515625" style="1459" customWidth="1"/>
    <col min="1031" max="1031" width="14" style="1459" customWidth="1"/>
    <col min="1032" max="1032" width="9.140625" style="1459"/>
    <col min="1033" max="1033" width="13.5703125" style="1459" customWidth="1"/>
    <col min="1034" max="1034" width="15.42578125" style="1459" customWidth="1"/>
    <col min="1035" max="1276" width="9.140625" style="1459"/>
    <col min="1277" max="1277" width="11.7109375" style="1459" customWidth="1"/>
    <col min="1278" max="1278" width="15.85546875" style="1459" customWidth="1"/>
    <col min="1279" max="1280" width="9.140625" style="1459"/>
    <col min="1281" max="1281" width="14.28515625" style="1459" customWidth="1"/>
    <col min="1282" max="1282" width="14.140625" style="1459" customWidth="1"/>
    <col min="1283" max="1284" width="9.140625" style="1459"/>
    <col min="1285" max="1285" width="16.140625" style="1459" customWidth="1"/>
    <col min="1286" max="1286" width="16.28515625" style="1459" customWidth="1"/>
    <col min="1287" max="1287" width="14" style="1459" customWidth="1"/>
    <col min="1288" max="1288" width="9.140625" style="1459"/>
    <col min="1289" max="1289" width="13.5703125" style="1459" customWidth="1"/>
    <col min="1290" max="1290" width="15.42578125" style="1459" customWidth="1"/>
    <col min="1291" max="1532" width="9.140625" style="1459"/>
    <col min="1533" max="1533" width="11.7109375" style="1459" customWidth="1"/>
    <col min="1534" max="1534" width="15.85546875" style="1459" customWidth="1"/>
    <col min="1535" max="1536" width="9.140625" style="1459"/>
    <col min="1537" max="1537" width="14.28515625" style="1459" customWidth="1"/>
    <col min="1538" max="1538" width="14.140625" style="1459" customWidth="1"/>
    <col min="1539" max="1540" width="9.140625" style="1459"/>
    <col min="1541" max="1541" width="16.140625" style="1459" customWidth="1"/>
    <col min="1542" max="1542" width="16.28515625" style="1459" customWidth="1"/>
    <col min="1543" max="1543" width="14" style="1459" customWidth="1"/>
    <col min="1544" max="1544" width="9.140625" style="1459"/>
    <col min="1545" max="1545" width="13.5703125" style="1459" customWidth="1"/>
    <col min="1546" max="1546" width="15.42578125" style="1459" customWidth="1"/>
    <col min="1547" max="1788" width="9.140625" style="1459"/>
    <col min="1789" max="1789" width="11.7109375" style="1459" customWidth="1"/>
    <col min="1790" max="1790" width="15.85546875" style="1459" customWidth="1"/>
    <col min="1791" max="1792" width="9.140625" style="1459"/>
    <col min="1793" max="1793" width="14.28515625" style="1459" customWidth="1"/>
    <col min="1794" max="1794" width="14.140625" style="1459" customWidth="1"/>
    <col min="1795" max="1796" width="9.140625" style="1459"/>
    <col min="1797" max="1797" width="16.140625" style="1459" customWidth="1"/>
    <col min="1798" max="1798" width="16.28515625" style="1459" customWidth="1"/>
    <col min="1799" max="1799" width="14" style="1459" customWidth="1"/>
    <col min="1800" max="1800" width="9.140625" style="1459"/>
    <col min="1801" max="1801" width="13.5703125" style="1459" customWidth="1"/>
    <col min="1802" max="1802" width="15.42578125" style="1459" customWidth="1"/>
    <col min="1803" max="2044" width="9.140625" style="1459"/>
    <col min="2045" max="2045" width="11.7109375" style="1459" customWidth="1"/>
    <col min="2046" max="2046" width="15.85546875" style="1459" customWidth="1"/>
    <col min="2047" max="2048" width="9.140625" style="1459"/>
    <col min="2049" max="2049" width="14.28515625" style="1459" customWidth="1"/>
    <col min="2050" max="2050" width="14.140625" style="1459" customWidth="1"/>
    <col min="2051" max="2052" width="9.140625" style="1459"/>
    <col min="2053" max="2053" width="16.140625" style="1459" customWidth="1"/>
    <col min="2054" max="2054" width="16.28515625" style="1459" customWidth="1"/>
    <col min="2055" max="2055" width="14" style="1459" customWidth="1"/>
    <col min="2056" max="2056" width="9.140625" style="1459"/>
    <col min="2057" max="2057" width="13.5703125" style="1459" customWidth="1"/>
    <col min="2058" max="2058" width="15.42578125" style="1459" customWidth="1"/>
    <col min="2059" max="2300" width="9.140625" style="1459"/>
    <col min="2301" max="2301" width="11.7109375" style="1459" customWidth="1"/>
    <col min="2302" max="2302" width="15.85546875" style="1459" customWidth="1"/>
    <col min="2303" max="2304" width="9.140625" style="1459"/>
    <col min="2305" max="2305" width="14.28515625" style="1459" customWidth="1"/>
    <col min="2306" max="2306" width="14.140625" style="1459" customWidth="1"/>
    <col min="2307" max="2308" width="9.140625" style="1459"/>
    <col min="2309" max="2309" width="16.140625" style="1459" customWidth="1"/>
    <col min="2310" max="2310" width="16.28515625" style="1459" customWidth="1"/>
    <col min="2311" max="2311" width="14" style="1459" customWidth="1"/>
    <col min="2312" max="2312" width="9.140625" style="1459"/>
    <col min="2313" max="2313" width="13.5703125" style="1459" customWidth="1"/>
    <col min="2314" max="2314" width="15.42578125" style="1459" customWidth="1"/>
    <col min="2315" max="2556" width="9.140625" style="1459"/>
    <col min="2557" max="2557" width="11.7109375" style="1459" customWidth="1"/>
    <col min="2558" max="2558" width="15.85546875" style="1459" customWidth="1"/>
    <col min="2559" max="2560" width="9.140625" style="1459"/>
    <col min="2561" max="2561" width="14.28515625" style="1459" customWidth="1"/>
    <col min="2562" max="2562" width="14.140625" style="1459" customWidth="1"/>
    <col min="2563" max="2564" width="9.140625" style="1459"/>
    <col min="2565" max="2565" width="16.140625" style="1459" customWidth="1"/>
    <col min="2566" max="2566" width="16.28515625" style="1459" customWidth="1"/>
    <col min="2567" max="2567" width="14" style="1459" customWidth="1"/>
    <col min="2568" max="2568" width="9.140625" style="1459"/>
    <col min="2569" max="2569" width="13.5703125" style="1459" customWidth="1"/>
    <col min="2570" max="2570" width="15.42578125" style="1459" customWidth="1"/>
    <col min="2571" max="2812" width="9.140625" style="1459"/>
    <col min="2813" max="2813" width="11.7109375" style="1459" customWidth="1"/>
    <col min="2814" max="2814" width="15.85546875" style="1459" customWidth="1"/>
    <col min="2815" max="2816" width="9.140625" style="1459"/>
    <col min="2817" max="2817" width="14.28515625" style="1459" customWidth="1"/>
    <col min="2818" max="2818" width="14.140625" style="1459" customWidth="1"/>
    <col min="2819" max="2820" width="9.140625" style="1459"/>
    <col min="2821" max="2821" width="16.140625" style="1459" customWidth="1"/>
    <col min="2822" max="2822" width="16.28515625" style="1459" customWidth="1"/>
    <col min="2823" max="2823" width="14" style="1459" customWidth="1"/>
    <col min="2824" max="2824" width="9.140625" style="1459"/>
    <col min="2825" max="2825" width="13.5703125" style="1459" customWidth="1"/>
    <col min="2826" max="2826" width="15.42578125" style="1459" customWidth="1"/>
    <col min="2827" max="3068" width="9.140625" style="1459"/>
    <col min="3069" max="3069" width="11.7109375" style="1459" customWidth="1"/>
    <col min="3070" max="3070" width="15.85546875" style="1459" customWidth="1"/>
    <col min="3071" max="3072" width="9.140625" style="1459"/>
    <col min="3073" max="3073" width="14.28515625" style="1459" customWidth="1"/>
    <col min="3074" max="3074" width="14.140625" style="1459" customWidth="1"/>
    <col min="3075" max="3076" width="9.140625" style="1459"/>
    <col min="3077" max="3077" width="16.140625" style="1459" customWidth="1"/>
    <col min="3078" max="3078" width="16.28515625" style="1459" customWidth="1"/>
    <col min="3079" max="3079" width="14" style="1459" customWidth="1"/>
    <col min="3080" max="3080" width="9.140625" style="1459"/>
    <col min="3081" max="3081" width="13.5703125" style="1459" customWidth="1"/>
    <col min="3082" max="3082" width="15.42578125" style="1459" customWidth="1"/>
    <col min="3083" max="3324" width="9.140625" style="1459"/>
    <col min="3325" max="3325" width="11.7109375" style="1459" customWidth="1"/>
    <col min="3326" max="3326" width="15.85546875" style="1459" customWidth="1"/>
    <col min="3327" max="3328" width="9.140625" style="1459"/>
    <col min="3329" max="3329" width="14.28515625" style="1459" customWidth="1"/>
    <col min="3330" max="3330" width="14.140625" style="1459" customWidth="1"/>
    <col min="3331" max="3332" width="9.140625" style="1459"/>
    <col min="3333" max="3333" width="16.140625" style="1459" customWidth="1"/>
    <col min="3334" max="3334" width="16.28515625" style="1459" customWidth="1"/>
    <col min="3335" max="3335" width="14" style="1459" customWidth="1"/>
    <col min="3336" max="3336" width="9.140625" style="1459"/>
    <col min="3337" max="3337" width="13.5703125" style="1459" customWidth="1"/>
    <col min="3338" max="3338" width="15.42578125" style="1459" customWidth="1"/>
    <col min="3339" max="3580" width="9.140625" style="1459"/>
    <col min="3581" max="3581" width="11.7109375" style="1459" customWidth="1"/>
    <col min="3582" max="3582" width="15.85546875" style="1459" customWidth="1"/>
    <col min="3583" max="3584" width="9.140625" style="1459"/>
    <col min="3585" max="3585" width="14.28515625" style="1459" customWidth="1"/>
    <col min="3586" max="3586" width="14.140625" style="1459" customWidth="1"/>
    <col min="3587" max="3588" width="9.140625" style="1459"/>
    <col min="3589" max="3589" width="16.140625" style="1459" customWidth="1"/>
    <col min="3590" max="3590" width="16.28515625" style="1459" customWidth="1"/>
    <col min="3591" max="3591" width="14" style="1459" customWidth="1"/>
    <col min="3592" max="3592" width="9.140625" style="1459"/>
    <col min="3593" max="3593" width="13.5703125" style="1459" customWidth="1"/>
    <col min="3594" max="3594" width="15.42578125" style="1459" customWidth="1"/>
    <col min="3595" max="3836" width="9.140625" style="1459"/>
    <col min="3837" max="3837" width="11.7109375" style="1459" customWidth="1"/>
    <col min="3838" max="3838" width="15.85546875" style="1459" customWidth="1"/>
    <col min="3839" max="3840" width="9.140625" style="1459"/>
    <col min="3841" max="3841" width="14.28515625" style="1459" customWidth="1"/>
    <col min="3842" max="3842" width="14.140625" style="1459" customWidth="1"/>
    <col min="3843" max="3844" width="9.140625" style="1459"/>
    <col min="3845" max="3845" width="16.140625" style="1459" customWidth="1"/>
    <col min="3846" max="3846" width="16.28515625" style="1459" customWidth="1"/>
    <col min="3847" max="3847" width="14" style="1459" customWidth="1"/>
    <col min="3848" max="3848" width="9.140625" style="1459"/>
    <col min="3849" max="3849" width="13.5703125" style="1459" customWidth="1"/>
    <col min="3850" max="3850" width="15.42578125" style="1459" customWidth="1"/>
    <col min="3851" max="4092" width="9.140625" style="1459"/>
    <col min="4093" max="4093" width="11.7109375" style="1459" customWidth="1"/>
    <col min="4094" max="4094" width="15.85546875" style="1459" customWidth="1"/>
    <col min="4095" max="4096" width="9.140625" style="1459"/>
    <col min="4097" max="4097" width="14.28515625" style="1459" customWidth="1"/>
    <col min="4098" max="4098" width="14.140625" style="1459" customWidth="1"/>
    <col min="4099" max="4100" width="9.140625" style="1459"/>
    <col min="4101" max="4101" width="16.140625" style="1459" customWidth="1"/>
    <col min="4102" max="4102" width="16.28515625" style="1459" customWidth="1"/>
    <col min="4103" max="4103" width="14" style="1459" customWidth="1"/>
    <col min="4104" max="4104" width="9.140625" style="1459"/>
    <col min="4105" max="4105" width="13.5703125" style="1459" customWidth="1"/>
    <col min="4106" max="4106" width="15.42578125" style="1459" customWidth="1"/>
    <col min="4107" max="4348" width="9.140625" style="1459"/>
    <col min="4349" max="4349" width="11.7109375" style="1459" customWidth="1"/>
    <col min="4350" max="4350" width="15.85546875" style="1459" customWidth="1"/>
    <col min="4351" max="4352" width="9.140625" style="1459"/>
    <col min="4353" max="4353" width="14.28515625" style="1459" customWidth="1"/>
    <col min="4354" max="4354" width="14.140625" style="1459" customWidth="1"/>
    <col min="4355" max="4356" width="9.140625" style="1459"/>
    <col min="4357" max="4357" width="16.140625" style="1459" customWidth="1"/>
    <col min="4358" max="4358" width="16.28515625" style="1459" customWidth="1"/>
    <col min="4359" max="4359" width="14" style="1459" customWidth="1"/>
    <col min="4360" max="4360" width="9.140625" style="1459"/>
    <col min="4361" max="4361" width="13.5703125" style="1459" customWidth="1"/>
    <col min="4362" max="4362" width="15.42578125" style="1459" customWidth="1"/>
    <col min="4363" max="4604" width="9.140625" style="1459"/>
    <col min="4605" max="4605" width="11.7109375" style="1459" customWidth="1"/>
    <col min="4606" max="4606" width="15.85546875" style="1459" customWidth="1"/>
    <col min="4607" max="4608" width="9.140625" style="1459"/>
    <col min="4609" max="4609" width="14.28515625" style="1459" customWidth="1"/>
    <col min="4610" max="4610" width="14.140625" style="1459" customWidth="1"/>
    <col min="4611" max="4612" width="9.140625" style="1459"/>
    <col min="4613" max="4613" width="16.140625" style="1459" customWidth="1"/>
    <col min="4614" max="4614" width="16.28515625" style="1459" customWidth="1"/>
    <col min="4615" max="4615" width="14" style="1459" customWidth="1"/>
    <col min="4616" max="4616" width="9.140625" style="1459"/>
    <col min="4617" max="4617" width="13.5703125" style="1459" customWidth="1"/>
    <col min="4618" max="4618" width="15.42578125" style="1459" customWidth="1"/>
    <col min="4619" max="4860" width="9.140625" style="1459"/>
    <col min="4861" max="4861" width="11.7109375" style="1459" customWidth="1"/>
    <col min="4862" max="4862" width="15.85546875" style="1459" customWidth="1"/>
    <col min="4863" max="4864" width="9.140625" style="1459"/>
    <col min="4865" max="4865" width="14.28515625" style="1459" customWidth="1"/>
    <col min="4866" max="4866" width="14.140625" style="1459" customWidth="1"/>
    <col min="4867" max="4868" width="9.140625" style="1459"/>
    <col min="4869" max="4869" width="16.140625" style="1459" customWidth="1"/>
    <col min="4870" max="4870" width="16.28515625" style="1459" customWidth="1"/>
    <col min="4871" max="4871" width="14" style="1459" customWidth="1"/>
    <col min="4872" max="4872" width="9.140625" style="1459"/>
    <col min="4873" max="4873" width="13.5703125" style="1459" customWidth="1"/>
    <col min="4874" max="4874" width="15.42578125" style="1459" customWidth="1"/>
    <col min="4875" max="5116" width="9.140625" style="1459"/>
    <col min="5117" max="5117" width="11.7109375" style="1459" customWidth="1"/>
    <col min="5118" max="5118" width="15.85546875" style="1459" customWidth="1"/>
    <col min="5119" max="5120" width="9.140625" style="1459"/>
    <col min="5121" max="5121" width="14.28515625" style="1459" customWidth="1"/>
    <col min="5122" max="5122" width="14.140625" style="1459" customWidth="1"/>
    <col min="5123" max="5124" width="9.140625" style="1459"/>
    <col min="5125" max="5125" width="16.140625" style="1459" customWidth="1"/>
    <col min="5126" max="5126" width="16.28515625" style="1459" customWidth="1"/>
    <col min="5127" max="5127" width="14" style="1459" customWidth="1"/>
    <col min="5128" max="5128" width="9.140625" style="1459"/>
    <col min="5129" max="5129" width="13.5703125" style="1459" customWidth="1"/>
    <col min="5130" max="5130" width="15.42578125" style="1459" customWidth="1"/>
    <col min="5131" max="5372" width="9.140625" style="1459"/>
    <col min="5373" max="5373" width="11.7109375" style="1459" customWidth="1"/>
    <col min="5374" max="5374" width="15.85546875" style="1459" customWidth="1"/>
    <col min="5375" max="5376" width="9.140625" style="1459"/>
    <col min="5377" max="5377" width="14.28515625" style="1459" customWidth="1"/>
    <col min="5378" max="5378" width="14.140625" style="1459" customWidth="1"/>
    <col min="5379" max="5380" width="9.140625" style="1459"/>
    <col min="5381" max="5381" width="16.140625" style="1459" customWidth="1"/>
    <col min="5382" max="5382" width="16.28515625" style="1459" customWidth="1"/>
    <col min="5383" max="5383" width="14" style="1459" customWidth="1"/>
    <col min="5384" max="5384" width="9.140625" style="1459"/>
    <col min="5385" max="5385" width="13.5703125" style="1459" customWidth="1"/>
    <col min="5386" max="5386" width="15.42578125" style="1459" customWidth="1"/>
    <col min="5387" max="5628" width="9.140625" style="1459"/>
    <col min="5629" max="5629" width="11.7109375" style="1459" customWidth="1"/>
    <col min="5630" max="5630" width="15.85546875" style="1459" customWidth="1"/>
    <col min="5631" max="5632" width="9.140625" style="1459"/>
    <col min="5633" max="5633" width="14.28515625" style="1459" customWidth="1"/>
    <col min="5634" max="5634" width="14.140625" style="1459" customWidth="1"/>
    <col min="5635" max="5636" width="9.140625" style="1459"/>
    <col min="5637" max="5637" width="16.140625" style="1459" customWidth="1"/>
    <col min="5638" max="5638" width="16.28515625" style="1459" customWidth="1"/>
    <col min="5639" max="5639" width="14" style="1459" customWidth="1"/>
    <col min="5640" max="5640" width="9.140625" style="1459"/>
    <col min="5641" max="5641" width="13.5703125" style="1459" customWidth="1"/>
    <col min="5642" max="5642" width="15.42578125" style="1459" customWidth="1"/>
    <col min="5643" max="5884" width="9.140625" style="1459"/>
    <col min="5885" max="5885" width="11.7109375" style="1459" customWidth="1"/>
    <col min="5886" max="5886" width="15.85546875" style="1459" customWidth="1"/>
    <col min="5887" max="5888" width="9.140625" style="1459"/>
    <col min="5889" max="5889" width="14.28515625" style="1459" customWidth="1"/>
    <col min="5890" max="5890" width="14.140625" style="1459" customWidth="1"/>
    <col min="5891" max="5892" width="9.140625" style="1459"/>
    <col min="5893" max="5893" width="16.140625" style="1459" customWidth="1"/>
    <col min="5894" max="5894" width="16.28515625" style="1459" customWidth="1"/>
    <col min="5895" max="5895" width="14" style="1459" customWidth="1"/>
    <col min="5896" max="5896" width="9.140625" style="1459"/>
    <col min="5897" max="5897" width="13.5703125" style="1459" customWidth="1"/>
    <col min="5898" max="5898" width="15.42578125" style="1459" customWidth="1"/>
    <col min="5899" max="6140" width="9.140625" style="1459"/>
    <col min="6141" max="6141" width="11.7109375" style="1459" customWidth="1"/>
    <col min="6142" max="6142" width="15.85546875" style="1459" customWidth="1"/>
    <col min="6143" max="6144" width="9.140625" style="1459"/>
    <col min="6145" max="6145" width="14.28515625" style="1459" customWidth="1"/>
    <col min="6146" max="6146" width="14.140625" style="1459" customWidth="1"/>
    <col min="6147" max="6148" width="9.140625" style="1459"/>
    <col min="6149" max="6149" width="16.140625" style="1459" customWidth="1"/>
    <col min="6150" max="6150" width="16.28515625" style="1459" customWidth="1"/>
    <col min="6151" max="6151" width="14" style="1459" customWidth="1"/>
    <col min="6152" max="6152" width="9.140625" style="1459"/>
    <col min="6153" max="6153" width="13.5703125" style="1459" customWidth="1"/>
    <col min="6154" max="6154" width="15.42578125" style="1459" customWidth="1"/>
    <col min="6155" max="6396" width="9.140625" style="1459"/>
    <col min="6397" max="6397" width="11.7109375" style="1459" customWidth="1"/>
    <col min="6398" max="6398" width="15.85546875" style="1459" customWidth="1"/>
    <col min="6399" max="6400" width="9.140625" style="1459"/>
    <col min="6401" max="6401" width="14.28515625" style="1459" customWidth="1"/>
    <col min="6402" max="6402" width="14.140625" style="1459" customWidth="1"/>
    <col min="6403" max="6404" width="9.140625" style="1459"/>
    <col min="6405" max="6405" width="16.140625" style="1459" customWidth="1"/>
    <col min="6406" max="6406" width="16.28515625" style="1459" customWidth="1"/>
    <col min="6407" max="6407" width="14" style="1459" customWidth="1"/>
    <col min="6408" max="6408" width="9.140625" style="1459"/>
    <col min="6409" max="6409" width="13.5703125" style="1459" customWidth="1"/>
    <col min="6410" max="6410" width="15.42578125" style="1459" customWidth="1"/>
    <col min="6411" max="6652" width="9.140625" style="1459"/>
    <col min="6653" max="6653" width="11.7109375" style="1459" customWidth="1"/>
    <col min="6654" max="6654" width="15.85546875" style="1459" customWidth="1"/>
    <col min="6655" max="6656" width="9.140625" style="1459"/>
    <col min="6657" max="6657" width="14.28515625" style="1459" customWidth="1"/>
    <col min="6658" max="6658" width="14.140625" style="1459" customWidth="1"/>
    <col min="6659" max="6660" width="9.140625" style="1459"/>
    <col min="6661" max="6661" width="16.140625" style="1459" customWidth="1"/>
    <col min="6662" max="6662" width="16.28515625" style="1459" customWidth="1"/>
    <col min="6663" max="6663" width="14" style="1459" customWidth="1"/>
    <col min="6664" max="6664" width="9.140625" style="1459"/>
    <col min="6665" max="6665" width="13.5703125" style="1459" customWidth="1"/>
    <col min="6666" max="6666" width="15.42578125" style="1459" customWidth="1"/>
    <col min="6667" max="6908" width="9.140625" style="1459"/>
    <col min="6909" max="6909" width="11.7109375" style="1459" customWidth="1"/>
    <col min="6910" max="6910" width="15.85546875" style="1459" customWidth="1"/>
    <col min="6911" max="6912" width="9.140625" style="1459"/>
    <col min="6913" max="6913" width="14.28515625" style="1459" customWidth="1"/>
    <col min="6914" max="6914" width="14.140625" style="1459" customWidth="1"/>
    <col min="6915" max="6916" width="9.140625" style="1459"/>
    <col min="6917" max="6917" width="16.140625" style="1459" customWidth="1"/>
    <col min="6918" max="6918" width="16.28515625" style="1459" customWidth="1"/>
    <col min="6919" max="6919" width="14" style="1459" customWidth="1"/>
    <col min="6920" max="6920" width="9.140625" style="1459"/>
    <col min="6921" max="6921" width="13.5703125" style="1459" customWidth="1"/>
    <col min="6922" max="6922" width="15.42578125" style="1459" customWidth="1"/>
    <col min="6923" max="7164" width="9.140625" style="1459"/>
    <col min="7165" max="7165" width="11.7109375" style="1459" customWidth="1"/>
    <col min="7166" max="7166" width="15.85546875" style="1459" customWidth="1"/>
    <col min="7167" max="7168" width="9.140625" style="1459"/>
    <col min="7169" max="7169" width="14.28515625" style="1459" customWidth="1"/>
    <col min="7170" max="7170" width="14.140625" style="1459" customWidth="1"/>
    <col min="7171" max="7172" width="9.140625" style="1459"/>
    <col min="7173" max="7173" width="16.140625" style="1459" customWidth="1"/>
    <col min="7174" max="7174" width="16.28515625" style="1459" customWidth="1"/>
    <col min="7175" max="7175" width="14" style="1459" customWidth="1"/>
    <col min="7176" max="7176" width="9.140625" style="1459"/>
    <col min="7177" max="7177" width="13.5703125" style="1459" customWidth="1"/>
    <col min="7178" max="7178" width="15.42578125" style="1459" customWidth="1"/>
    <col min="7179" max="7420" width="9.140625" style="1459"/>
    <col min="7421" max="7421" width="11.7109375" style="1459" customWidth="1"/>
    <col min="7422" max="7422" width="15.85546875" style="1459" customWidth="1"/>
    <col min="7423" max="7424" width="9.140625" style="1459"/>
    <col min="7425" max="7425" width="14.28515625" style="1459" customWidth="1"/>
    <col min="7426" max="7426" width="14.140625" style="1459" customWidth="1"/>
    <col min="7427" max="7428" width="9.140625" style="1459"/>
    <col min="7429" max="7429" width="16.140625" style="1459" customWidth="1"/>
    <col min="7430" max="7430" width="16.28515625" style="1459" customWidth="1"/>
    <col min="7431" max="7431" width="14" style="1459" customWidth="1"/>
    <col min="7432" max="7432" width="9.140625" style="1459"/>
    <col min="7433" max="7433" width="13.5703125" style="1459" customWidth="1"/>
    <col min="7434" max="7434" width="15.42578125" style="1459" customWidth="1"/>
    <col min="7435" max="7676" width="9.140625" style="1459"/>
    <col min="7677" max="7677" width="11.7109375" style="1459" customWidth="1"/>
    <col min="7678" max="7678" width="15.85546875" style="1459" customWidth="1"/>
    <col min="7679" max="7680" width="9.140625" style="1459"/>
    <col min="7681" max="7681" width="14.28515625" style="1459" customWidth="1"/>
    <col min="7682" max="7682" width="14.140625" style="1459" customWidth="1"/>
    <col min="7683" max="7684" width="9.140625" style="1459"/>
    <col min="7685" max="7685" width="16.140625" style="1459" customWidth="1"/>
    <col min="7686" max="7686" width="16.28515625" style="1459" customWidth="1"/>
    <col min="7687" max="7687" width="14" style="1459" customWidth="1"/>
    <col min="7688" max="7688" width="9.140625" style="1459"/>
    <col min="7689" max="7689" width="13.5703125" style="1459" customWidth="1"/>
    <col min="7690" max="7690" width="15.42578125" style="1459" customWidth="1"/>
    <col min="7691" max="7932" width="9.140625" style="1459"/>
    <col min="7933" max="7933" width="11.7109375" style="1459" customWidth="1"/>
    <col min="7934" max="7934" width="15.85546875" style="1459" customWidth="1"/>
    <col min="7935" max="7936" width="9.140625" style="1459"/>
    <col min="7937" max="7937" width="14.28515625" style="1459" customWidth="1"/>
    <col min="7938" max="7938" width="14.140625" style="1459" customWidth="1"/>
    <col min="7939" max="7940" width="9.140625" style="1459"/>
    <col min="7941" max="7941" width="16.140625" style="1459" customWidth="1"/>
    <col min="7942" max="7942" width="16.28515625" style="1459" customWidth="1"/>
    <col min="7943" max="7943" width="14" style="1459" customWidth="1"/>
    <col min="7944" max="7944" width="9.140625" style="1459"/>
    <col min="7945" max="7945" width="13.5703125" style="1459" customWidth="1"/>
    <col min="7946" max="7946" width="15.42578125" style="1459" customWidth="1"/>
    <col min="7947" max="8188" width="9.140625" style="1459"/>
    <col min="8189" max="8189" width="11.7109375" style="1459" customWidth="1"/>
    <col min="8190" max="8190" width="15.85546875" style="1459" customWidth="1"/>
    <col min="8191" max="8192" width="9.140625" style="1459"/>
    <col min="8193" max="8193" width="14.28515625" style="1459" customWidth="1"/>
    <col min="8194" max="8194" width="14.140625" style="1459" customWidth="1"/>
    <col min="8195" max="8196" width="9.140625" style="1459"/>
    <col min="8197" max="8197" width="16.140625" style="1459" customWidth="1"/>
    <col min="8198" max="8198" width="16.28515625" style="1459" customWidth="1"/>
    <col min="8199" max="8199" width="14" style="1459" customWidth="1"/>
    <col min="8200" max="8200" width="9.140625" style="1459"/>
    <col min="8201" max="8201" width="13.5703125" style="1459" customWidth="1"/>
    <col min="8202" max="8202" width="15.42578125" style="1459" customWidth="1"/>
    <col min="8203" max="8444" width="9.140625" style="1459"/>
    <col min="8445" max="8445" width="11.7109375" style="1459" customWidth="1"/>
    <col min="8446" max="8446" width="15.85546875" style="1459" customWidth="1"/>
    <col min="8447" max="8448" width="9.140625" style="1459"/>
    <col min="8449" max="8449" width="14.28515625" style="1459" customWidth="1"/>
    <col min="8450" max="8450" width="14.140625" style="1459" customWidth="1"/>
    <col min="8451" max="8452" width="9.140625" style="1459"/>
    <col min="8453" max="8453" width="16.140625" style="1459" customWidth="1"/>
    <col min="8454" max="8454" width="16.28515625" style="1459" customWidth="1"/>
    <col min="8455" max="8455" width="14" style="1459" customWidth="1"/>
    <col min="8456" max="8456" width="9.140625" style="1459"/>
    <col min="8457" max="8457" width="13.5703125" style="1459" customWidth="1"/>
    <col min="8458" max="8458" width="15.42578125" style="1459" customWidth="1"/>
    <col min="8459" max="8700" width="9.140625" style="1459"/>
    <col min="8701" max="8701" width="11.7109375" style="1459" customWidth="1"/>
    <col min="8702" max="8702" width="15.85546875" style="1459" customWidth="1"/>
    <col min="8703" max="8704" width="9.140625" style="1459"/>
    <col min="8705" max="8705" width="14.28515625" style="1459" customWidth="1"/>
    <col min="8706" max="8706" width="14.140625" style="1459" customWidth="1"/>
    <col min="8707" max="8708" width="9.140625" style="1459"/>
    <col min="8709" max="8709" width="16.140625" style="1459" customWidth="1"/>
    <col min="8710" max="8710" width="16.28515625" style="1459" customWidth="1"/>
    <col min="8711" max="8711" width="14" style="1459" customWidth="1"/>
    <col min="8712" max="8712" width="9.140625" style="1459"/>
    <col min="8713" max="8713" width="13.5703125" style="1459" customWidth="1"/>
    <col min="8714" max="8714" width="15.42578125" style="1459" customWidth="1"/>
    <col min="8715" max="8956" width="9.140625" style="1459"/>
    <col min="8957" max="8957" width="11.7109375" style="1459" customWidth="1"/>
    <col min="8958" max="8958" width="15.85546875" style="1459" customWidth="1"/>
    <col min="8959" max="8960" width="9.140625" style="1459"/>
    <col min="8961" max="8961" width="14.28515625" style="1459" customWidth="1"/>
    <col min="8962" max="8962" width="14.140625" style="1459" customWidth="1"/>
    <col min="8963" max="8964" width="9.140625" style="1459"/>
    <col min="8965" max="8965" width="16.140625" style="1459" customWidth="1"/>
    <col min="8966" max="8966" width="16.28515625" style="1459" customWidth="1"/>
    <col min="8967" max="8967" width="14" style="1459" customWidth="1"/>
    <col min="8968" max="8968" width="9.140625" style="1459"/>
    <col min="8969" max="8969" width="13.5703125" style="1459" customWidth="1"/>
    <col min="8970" max="8970" width="15.42578125" style="1459" customWidth="1"/>
    <col min="8971" max="9212" width="9.140625" style="1459"/>
    <col min="9213" max="9213" width="11.7109375" style="1459" customWidth="1"/>
    <col min="9214" max="9214" width="15.85546875" style="1459" customWidth="1"/>
    <col min="9215" max="9216" width="9.140625" style="1459"/>
    <col min="9217" max="9217" width="14.28515625" style="1459" customWidth="1"/>
    <col min="9218" max="9218" width="14.140625" style="1459" customWidth="1"/>
    <col min="9219" max="9220" width="9.140625" style="1459"/>
    <col min="9221" max="9221" width="16.140625" style="1459" customWidth="1"/>
    <col min="9222" max="9222" width="16.28515625" style="1459" customWidth="1"/>
    <col min="9223" max="9223" width="14" style="1459" customWidth="1"/>
    <col min="9224" max="9224" width="9.140625" style="1459"/>
    <col min="9225" max="9225" width="13.5703125" style="1459" customWidth="1"/>
    <col min="9226" max="9226" width="15.42578125" style="1459" customWidth="1"/>
    <col min="9227" max="9468" width="9.140625" style="1459"/>
    <col min="9469" max="9469" width="11.7109375" style="1459" customWidth="1"/>
    <col min="9470" max="9470" width="15.85546875" style="1459" customWidth="1"/>
    <col min="9471" max="9472" width="9.140625" style="1459"/>
    <col min="9473" max="9473" width="14.28515625" style="1459" customWidth="1"/>
    <col min="9474" max="9474" width="14.140625" style="1459" customWidth="1"/>
    <col min="9475" max="9476" width="9.140625" style="1459"/>
    <col min="9477" max="9477" width="16.140625" style="1459" customWidth="1"/>
    <col min="9478" max="9478" width="16.28515625" style="1459" customWidth="1"/>
    <col min="9479" max="9479" width="14" style="1459" customWidth="1"/>
    <col min="9480" max="9480" width="9.140625" style="1459"/>
    <col min="9481" max="9481" width="13.5703125" style="1459" customWidth="1"/>
    <col min="9482" max="9482" width="15.42578125" style="1459" customWidth="1"/>
    <col min="9483" max="9724" width="9.140625" style="1459"/>
    <col min="9725" max="9725" width="11.7109375" style="1459" customWidth="1"/>
    <col min="9726" max="9726" width="15.85546875" style="1459" customWidth="1"/>
    <col min="9727" max="9728" width="9.140625" style="1459"/>
    <col min="9729" max="9729" width="14.28515625" style="1459" customWidth="1"/>
    <col min="9730" max="9730" width="14.140625" style="1459" customWidth="1"/>
    <col min="9731" max="9732" width="9.140625" style="1459"/>
    <col min="9733" max="9733" width="16.140625" style="1459" customWidth="1"/>
    <col min="9734" max="9734" width="16.28515625" style="1459" customWidth="1"/>
    <col min="9735" max="9735" width="14" style="1459" customWidth="1"/>
    <col min="9736" max="9736" width="9.140625" style="1459"/>
    <col min="9737" max="9737" width="13.5703125" style="1459" customWidth="1"/>
    <col min="9738" max="9738" width="15.42578125" style="1459" customWidth="1"/>
    <col min="9739" max="9980" width="9.140625" style="1459"/>
    <col min="9981" max="9981" width="11.7109375" style="1459" customWidth="1"/>
    <col min="9982" max="9982" width="15.85546875" style="1459" customWidth="1"/>
    <col min="9983" max="9984" width="9.140625" style="1459"/>
    <col min="9985" max="9985" width="14.28515625" style="1459" customWidth="1"/>
    <col min="9986" max="9986" width="14.140625" style="1459" customWidth="1"/>
    <col min="9987" max="9988" width="9.140625" style="1459"/>
    <col min="9989" max="9989" width="16.140625" style="1459" customWidth="1"/>
    <col min="9990" max="9990" width="16.28515625" style="1459" customWidth="1"/>
    <col min="9991" max="9991" width="14" style="1459" customWidth="1"/>
    <col min="9992" max="9992" width="9.140625" style="1459"/>
    <col min="9993" max="9993" width="13.5703125" style="1459" customWidth="1"/>
    <col min="9994" max="9994" width="15.42578125" style="1459" customWidth="1"/>
    <col min="9995" max="10236" width="9.140625" style="1459"/>
    <col min="10237" max="10237" width="11.7109375" style="1459" customWidth="1"/>
    <col min="10238" max="10238" width="15.85546875" style="1459" customWidth="1"/>
    <col min="10239" max="10240" width="9.140625" style="1459"/>
    <col min="10241" max="10241" width="14.28515625" style="1459" customWidth="1"/>
    <col min="10242" max="10242" width="14.140625" style="1459" customWidth="1"/>
    <col min="10243" max="10244" width="9.140625" style="1459"/>
    <col min="10245" max="10245" width="16.140625" style="1459" customWidth="1"/>
    <col min="10246" max="10246" width="16.28515625" style="1459" customWidth="1"/>
    <col min="10247" max="10247" width="14" style="1459" customWidth="1"/>
    <col min="10248" max="10248" width="9.140625" style="1459"/>
    <col min="10249" max="10249" width="13.5703125" style="1459" customWidth="1"/>
    <col min="10250" max="10250" width="15.42578125" style="1459" customWidth="1"/>
    <col min="10251" max="10492" width="9.140625" style="1459"/>
    <col min="10493" max="10493" width="11.7109375" style="1459" customWidth="1"/>
    <col min="10494" max="10494" width="15.85546875" style="1459" customWidth="1"/>
    <col min="10495" max="10496" width="9.140625" style="1459"/>
    <col min="10497" max="10497" width="14.28515625" style="1459" customWidth="1"/>
    <col min="10498" max="10498" width="14.140625" style="1459" customWidth="1"/>
    <col min="10499" max="10500" width="9.140625" style="1459"/>
    <col min="10501" max="10501" width="16.140625" style="1459" customWidth="1"/>
    <col min="10502" max="10502" width="16.28515625" style="1459" customWidth="1"/>
    <col min="10503" max="10503" width="14" style="1459" customWidth="1"/>
    <col min="10504" max="10504" width="9.140625" style="1459"/>
    <col min="10505" max="10505" width="13.5703125" style="1459" customWidth="1"/>
    <col min="10506" max="10506" width="15.42578125" style="1459" customWidth="1"/>
    <col min="10507" max="10748" width="9.140625" style="1459"/>
    <col min="10749" max="10749" width="11.7109375" style="1459" customWidth="1"/>
    <col min="10750" max="10750" width="15.85546875" style="1459" customWidth="1"/>
    <col min="10751" max="10752" width="9.140625" style="1459"/>
    <col min="10753" max="10753" width="14.28515625" style="1459" customWidth="1"/>
    <col min="10754" max="10754" width="14.140625" style="1459" customWidth="1"/>
    <col min="10755" max="10756" width="9.140625" style="1459"/>
    <col min="10757" max="10757" width="16.140625" style="1459" customWidth="1"/>
    <col min="10758" max="10758" width="16.28515625" style="1459" customWidth="1"/>
    <col min="10759" max="10759" width="14" style="1459" customWidth="1"/>
    <col min="10760" max="10760" width="9.140625" style="1459"/>
    <col min="10761" max="10761" width="13.5703125" style="1459" customWidth="1"/>
    <col min="10762" max="10762" width="15.42578125" style="1459" customWidth="1"/>
    <col min="10763" max="11004" width="9.140625" style="1459"/>
    <col min="11005" max="11005" width="11.7109375" style="1459" customWidth="1"/>
    <col min="11006" max="11006" width="15.85546875" style="1459" customWidth="1"/>
    <col min="11007" max="11008" width="9.140625" style="1459"/>
    <col min="11009" max="11009" width="14.28515625" style="1459" customWidth="1"/>
    <col min="11010" max="11010" width="14.140625" style="1459" customWidth="1"/>
    <col min="11011" max="11012" width="9.140625" style="1459"/>
    <col min="11013" max="11013" width="16.140625" style="1459" customWidth="1"/>
    <col min="11014" max="11014" width="16.28515625" style="1459" customWidth="1"/>
    <col min="11015" max="11015" width="14" style="1459" customWidth="1"/>
    <col min="11016" max="11016" width="9.140625" style="1459"/>
    <col min="11017" max="11017" width="13.5703125" style="1459" customWidth="1"/>
    <col min="11018" max="11018" width="15.42578125" style="1459" customWidth="1"/>
    <col min="11019" max="11260" width="9.140625" style="1459"/>
    <col min="11261" max="11261" width="11.7109375" style="1459" customWidth="1"/>
    <col min="11262" max="11262" width="15.85546875" style="1459" customWidth="1"/>
    <col min="11263" max="11264" width="9.140625" style="1459"/>
    <col min="11265" max="11265" width="14.28515625" style="1459" customWidth="1"/>
    <col min="11266" max="11266" width="14.140625" style="1459" customWidth="1"/>
    <col min="11267" max="11268" width="9.140625" style="1459"/>
    <col min="11269" max="11269" width="16.140625" style="1459" customWidth="1"/>
    <col min="11270" max="11270" width="16.28515625" style="1459" customWidth="1"/>
    <col min="11271" max="11271" width="14" style="1459" customWidth="1"/>
    <col min="11272" max="11272" width="9.140625" style="1459"/>
    <col min="11273" max="11273" width="13.5703125" style="1459" customWidth="1"/>
    <col min="11274" max="11274" width="15.42578125" style="1459" customWidth="1"/>
    <col min="11275" max="11516" width="9.140625" style="1459"/>
    <col min="11517" max="11517" width="11.7109375" style="1459" customWidth="1"/>
    <col min="11518" max="11518" width="15.85546875" style="1459" customWidth="1"/>
    <col min="11519" max="11520" width="9.140625" style="1459"/>
    <col min="11521" max="11521" width="14.28515625" style="1459" customWidth="1"/>
    <col min="11522" max="11522" width="14.140625" style="1459" customWidth="1"/>
    <col min="11523" max="11524" width="9.140625" style="1459"/>
    <col min="11525" max="11525" width="16.140625" style="1459" customWidth="1"/>
    <col min="11526" max="11526" width="16.28515625" style="1459" customWidth="1"/>
    <col min="11527" max="11527" width="14" style="1459" customWidth="1"/>
    <col min="11528" max="11528" width="9.140625" style="1459"/>
    <col min="11529" max="11529" width="13.5703125" style="1459" customWidth="1"/>
    <col min="11530" max="11530" width="15.42578125" style="1459" customWidth="1"/>
    <col min="11531" max="11772" width="9.140625" style="1459"/>
    <col min="11773" max="11773" width="11.7109375" style="1459" customWidth="1"/>
    <col min="11774" max="11774" width="15.85546875" style="1459" customWidth="1"/>
    <col min="11775" max="11776" width="9.140625" style="1459"/>
    <col min="11777" max="11777" width="14.28515625" style="1459" customWidth="1"/>
    <col min="11778" max="11778" width="14.140625" style="1459" customWidth="1"/>
    <col min="11779" max="11780" width="9.140625" style="1459"/>
    <col min="11781" max="11781" width="16.140625" style="1459" customWidth="1"/>
    <col min="11782" max="11782" width="16.28515625" style="1459" customWidth="1"/>
    <col min="11783" max="11783" width="14" style="1459" customWidth="1"/>
    <col min="11784" max="11784" width="9.140625" style="1459"/>
    <col min="11785" max="11785" width="13.5703125" style="1459" customWidth="1"/>
    <col min="11786" max="11786" width="15.42578125" style="1459" customWidth="1"/>
    <col min="11787" max="12028" width="9.140625" style="1459"/>
    <col min="12029" max="12029" width="11.7109375" style="1459" customWidth="1"/>
    <col min="12030" max="12030" width="15.85546875" style="1459" customWidth="1"/>
    <col min="12031" max="12032" width="9.140625" style="1459"/>
    <col min="12033" max="12033" width="14.28515625" style="1459" customWidth="1"/>
    <col min="12034" max="12034" width="14.140625" style="1459" customWidth="1"/>
    <col min="12035" max="12036" width="9.140625" style="1459"/>
    <col min="12037" max="12037" width="16.140625" style="1459" customWidth="1"/>
    <col min="12038" max="12038" width="16.28515625" style="1459" customWidth="1"/>
    <col min="12039" max="12039" width="14" style="1459" customWidth="1"/>
    <col min="12040" max="12040" width="9.140625" style="1459"/>
    <col min="12041" max="12041" width="13.5703125" style="1459" customWidth="1"/>
    <col min="12042" max="12042" width="15.42578125" style="1459" customWidth="1"/>
    <col min="12043" max="12284" width="9.140625" style="1459"/>
    <col min="12285" max="12285" width="11.7109375" style="1459" customWidth="1"/>
    <col min="12286" max="12286" width="15.85546875" style="1459" customWidth="1"/>
    <col min="12287" max="12288" width="9.140625" style="1459"/>
    <col min="12289" max="12289" width="14.28515625" style="1459" customWidth="1"/>
    <col min="12290" max="12290" width="14.140625" style="1459" customWidth="1"/>
    <col min="12291" max="12292" width="9.140625" style="1459"/>
    <col min="12293" max="12293" width="16.140625" style="1459" customWidth="1"/>
    <col min="12294" max="12294" width="16.28515625" style="1459" customWidth="1"/>
    <col min="12295" max="12295" width="14" style="1459" customWidth="1"/>
    <col min="12296" max="12296" width="9.140625" style="1459"/>
    <col min="12297" max="12297" width="13.5703125" style="1459" customWidth="1"/>
    <col min="12298" max="12298" width="15.42578125" style="1459" customWidth="1"/>
    <col min="12299" max="12540" width="9.140625" style="1459"/>
    <col min="12541" max="12541" width="11.7109375" style="1459" customWidth="1"/>
    <col min="12542" max="12542" width="15.85546875" style="1459" customWidth="1"/>
    <col min="12543" max="12544" width="9.140625" style="1459"/>
    <col min="12545" max="12545" width="14.28515625" style="1459" customWidth="1"/>
    <col min="12546" max="12546" width="14.140625" style="1459" customWidth="1"/>
    <col min="12547" max="12548" width="9.140625" style="1459"/>
    <col min="12549" max="12549" width="16.140625" style="1459" customWidth="1"/>
    <col min="12550" max="12550" width="16.28515625" style="1459" customWidth="1"/>
    <col min="12551" max="12551" width="14" style="1459" customWidth="1"/>
    <col min="12552" max="12552" width="9.140625" style="1459"/>
    <col min="12553" max="12553" width="13.5703125" style="1459" customWidth="1"/>
    <col min="12554" max="12554" width="15.42578125" style="1459" customWidth="1"/>
    <col min="12555" max="12796" width="9.140625" style="1459"/>
    <col min="12797" max="12797" width="11.7109375" style="1459" customWidth="1"/>
    <col min="12798" max="12798" width="15.85546875" style="1459" customWidth="1"/>
    <col min="12799" max="12800" width="9.140625" style="1459"/>
    <col min="12801" max="12801" width="14.28515625" style="1459" customWidth="1"/>
    <col min="12802" max="12802" width="14.140625" style="1459" customWidth="1"/>
    <col min="12803" max="12804" width="9.140625" style="1459"/>
    <col min="12805" max="12805" width="16.140625" style="1459" customWidth="1"/>
    <col min="12806" max="12806" width="16.28515625" style="1459" customWidth="1"/>
    <col min="12807" max="12807" width="14" style="1459" customWidth="1"/>
    <col min="12808" max="12808" width="9.140625" style="1459"/>
    <col min="12809" max="12809" width="13.5703125" style="1459" customWidth="1"/>
    <col min="12810" max="12810" width="15.42578125" style="1459" customWidth="1"/>
    <col min="12811" max="13052" width="9.140625" style="1459"/>
    <col min="13053" max="13053" width="11.7109375" style="1459" customWidth="1"/>
    <col min="13054" max="13054" width="15.85546875" style="1459" customWidth="1"/>
    <col min="13055" max="13056" width="9.140625" style="1459"/>
    <col min="13057" max="13057" width="14.28515625" style="1459" customWidth="1"/>
    <col min="13058" max="13058" width="14.140625" style="1459" customWidth="1"/>
    <col min="13059" max="13060" width="9.140625" style="1459"/>
    <col min="13061" max="13061" width="16.140625" style="1459" customWidth="1"/>
    <col min="13062" max="13062" width="16.28515625" style="1459" customWidth="1"/>
    <col min="13063" max="13063" width="14" style="1459" customWidth="1"/>
    <col min="13064" max="13064" width="9.140625" style="1459"/>
    <col min="13065" max="13065" width="13.5703125" style="1459" customWidth="1"/>
    <col min="13066" max="13066" width="15.42578125" style="1459" customWidth="1"/>
    <col min="13067" max="13308" width="9.140625" style="1459"/>
    <col min="13309" max="13309" width="11.7109375" style="1459" customWidth="1"/>
    <col min="13310" max="13310" width="15.85546875" style="1459" customWidth="1"/>
    <col min="13311" max="13312" width="9.140625" style="1459"/>
    <col min="13313" max="13313" width="14.28515625" style="1459" customWidth="1"/>
    <col min="13314" max="13314" width="14.140625" style="1459" customWidth="1"/>
    <col min="13315" max="13316" width="9.140625" style="1459"/>
    <col min="13317" max="13317" width="16.140625" style="1459" customWidth="1"/>
    <col min="13318" max="13318" width="16.28515625" style="1459" customWidth="1"/>
    <col min="13319" max="13319" width="14" style="1459" customWidth="1"/>
    <col min="13320" max="13320" width="9.140625" style="1459"/>
    <col min="13321" max="13321" width="13.5703125" style="1459" customWidth="1"/>
    <col min="13322" max="13322" width="15.42578125" style="1459" customWidth="1"/>
    <col min="13323" max="13564" width="9.140625" style="1459"/>
    <col min="13565" max="13565" width="11.7109375" style="1459" customWidth="1"/>
    <col min="13566" max="13566" width="15.85546875" style="1459" customWidth="1"/>
    <col min="13567" max="13568" width="9.140625" style="1459"/>
    <col min="13569" max="13569" width="14.28515625" style="1459" customWidth="1"/>
    <col min="13570" max="13570" width="14.140625" style="1459" customWidth="1"/>
    <col min="13571" max="13572" width="9.140625" style="1459"/>
    <col min="13573" max="13573" width="16.140625" style="1459" customWidth="1"/>
    <col min="13574" max="13574" width="16.28515625" style="1459" customWidth="1"/>
    <col min="13575" max="13575" width="14" style="1459" customWidth="1"/>
    <col min="13576" max="13576" width="9.140625" style="1459"/>
    <col min="13577" max="13577" width="13.5703125" style="1459" customWidth="1"/>
    <col min="13578" max="13578" width="15.42578125" style="1459" customWidth="1"/>
    <col min="13579" max="13820" width="9.140625" style="1459"/>
    <col min="13821" max="13821" width="11.7109375" style="1459" customWidth="1"/>
    <col min="13822" max="13822" width="15.85546875" style="1459" customWidth="1"/>
    <col min="13823" max="13824" width="9.140625" style="1459"/>
    <col min="13825" max="13825" width="14.28515625" style="1459" customWidth="1"/>
    <col min="13826" max="13826" width="14.140625" style="1459" customWidth="1"/>
    <col min="13827" max="13828" width="9.140625" style="1459"/>
    <col min="13829" max="13829" width="16.140625" style="1459" customWidth="1"/>
    <col min="13830" max="13830" width="16.28515625" style="1459" customWidth="1"/>
    <col min="13831" max="13831" width="14" style="1459" customWidth="1"/>
    <col min="13832" max="13832" width="9.140625" style="1459"/>
    <col min="13833" max="13833" width="13.5703125" style="1459" customWidth="1"/>
    <col min="13834" max="13834" width="15.42578125" style="1459" customWidth="1"/>
    <col min="13835" max="14076" width="9.140625" style="1459"/>
    <col min="14077" max="14077" width="11.7109375" style="1459" customWidth="1"/>
    <col min="14078" max="14078" width="15.85546875" style="1459" customWidth="1"/>
    <col min="14079" max="14080" width="9.140625" style="1459"/>
    <col min="14081" max="14081" width="14.28515625" style="1459" customWidth="1"/>
    <col min="14082" max="14082" width="14.140625" style="1459" customWidth="1"/>
    <col min="14083" max="14084" width="9.140625" style="1459"/>
    <col min="14085" max="14085" width="16.140625" style="1459" customWidth="1"/>
    <col min="14086" max="14086" width="16.28515625" style="1459" customWidth="1"/>
    <col min="14087" max="14087" width="14" style="1459" customWidth="1"/>
    <col min="14088" max="14088" width="9.140625" style="1459"/>
    <col min="14089" max="14089" width="13.5703125" style="1459" customWidth="1"/>
    <col min="14090" max="14090" width="15.42578125" style="1459" customWidth="1"/>
    <col min="14091" max="14332" width="9.140625" style="1459"/>
    <col min="14333" max="14333" width="11.7109375" style="1459" customWidth="1"/>
    <col min="14334" max="14334" width="15.85546875" style="1459" customWidth="1"/>
    <col min="14335" max="14336" width="9.140625" style="1459"/>
    <col min="14337" max="14337" width="14.28515625" style="1459" customWidth="1"/>
    <col min="14338" max="14338" width="14.140625" style="1459" customWidth="1"/>
    <col min="14339" max="14340" width="9.140625" style="1459"/>
    <col min="14341" max="14341" width="16.140625" style="1459" customWidth="1"/>
    <col min="14342" max="14342" width="16.28515625" style="1459" customWidth="1"/>
    <col min="14343" max="14343" width="14" style="1459" customWidth="1"/>
    <col min="14344" max="14344" width="9.140625" style="1459"/>
    <col min="14345" max="14345" width="13.5703125" style="1459" customWidth="1"/>
    <col min="14346" max="14346" width="15.42578125" style="1459" customWidth="1"/>
    <col min="14347" max="14588" width="9.140625" style="1459"/>
    <col min="14589" max="14589" width="11.7109375" style="1459" customWidth="1"/>
    <col min="14590" max="14590" width="15.85546875" style="1459" customWidth="1"/>
    <col min="14591" max="14592" width="9.140625" style="1459"/>
    <col min="14593" max="14593" width="14.28515625" style="1459" customWidth="1"/>
    <col min="14594" max="14594" width="14.140625" style="1459" customWidth="1"/>
    <col min="14595" max="14596" width="9.140625" style="1459"/>
    <col min="14597" max="14597" width="16.140625" style="1459" customWidth="1"/>
    <col min="14598" max="14598" width="16.28515625" style="1459" customWidth="1"/>
    <col min="14599" max="14599" width="14" style="1459" customWidth="1"/>
    <col min="14600" max="14600" width="9.140625" style="1459"/>
    <col min="14601" max="14601" width="13.5703125" style="1459" customWidth="1"/>
    <col min="14602" max="14602" width="15.42578125" style="1459" customWidth="1"/>
    <col min="14603" max="14844" width="9.140625" style="1459"/>
    <col min="14845" max="14845" width="11.7109375" style="1459" customWidth="1"/>
    <col min="14846" max="14846" width="15.85546875" style="1459" customWidth="1"/>
    <col min="14847" max="14848" width="9.140625" style="1459"/>
    <col min="14849" max="14849" width="14.28515625" style="1459" customWidth="1"/>
    <col min="14850" max="14850" width="14.140625" style="1459" customWidth="1"/>
    <col min="14851" max="14852" width="9.140625" style="1459"/>
    <col min="14853" max="14853" width="16.140625" style="1459" customWidth="1"/>
    <col min="14854" max="14854" width="16.28515625" style="1459" customWidth="1"/>
    <col min="14855" max="14855" width="14" style="1459" customWidth="1"/>
    <col min="14856" max="14856" width="9.140625" style="1459"/>
    <col min="14857" max="14857" width="13.5703125" style="1459" customWidth="1"/>
    <col min="14858" max="14858" width="15.42578125" style="1459" customWidth="1"/>
    <col min="14859" max="15100" width="9.140625" style="1459"/>
    <col min="15101" max="15101" width="11.7109375" style="1459" customWidth="1"/>
    <col min="15102" max="15102" width="15.85546875" style="1459" customWidth="1"/>
    <col min="15103" max="15104" width="9.140625" style="1459"/>
    <col min="15105" max="15105" width="14.28515625" style="1459" customWidth="1"/>
    <col min="15106" max="15106" width="14.140625" style="1459" customWidth="1"/>
    <col min="15107" max="15108" width="9.140625" style="1459"/>
    <col min="15109" max="15109" width="16.140625" style="1459" customWidth="1"/>
    <col min="15110" max="15110" width="16.28515625" style="1459" customWidth="1"/>
    <col min="15111" max="15111" width="14" style="1459" customWidth="1"/>
    <col min="15112" max="15112" width="9.140625" style="1459"/>
    <col min="15113" max="15113" width="13.5703125" style="1459" customWidth="1"/>
    <col min="15114" max="15114" width="15.42578125" style="1459" customWidth="1"/>
    <col min="15115" max="15356" width="9.140625" style="1459"/>
    <col min="15357" max="15357" width="11.7109375" style="1459" customWidth="1"/>
    <col min="15358" max="15358" width="15.85546875" style="1459" customWidth="1"/>
    <col min="15359" max="15360" width="9.140625" style="1459"/>
    <col min="15361" max="15361" width="14.28515625" style="1459" customWidth="1"/>
    <col min="15362" max="15362" width="14.140625" style="1459" customWidth="1"/>
    <col min="15363" max="15364" width="9.140625" style="1459"/>
    <col min="15365" max="15365" width="16.140625" style="1459" customWidth="1"/>
    <col min="15366" max="15366" width="16.28515625" style="1459" customWidth="1"/>
    <col min="15367" max="15367" width="14" style="1459" customWidth="1"/>
    <col min="15368" max="15368" width="9.140625" style="1459"/>
    <col min="15369" max="15369" width="13.5703125" style="1459" customWidth="1"/>
    <col min="15370" max="15370" width="15.42578125" style="1459" customWidth="1"/>
    <col min="15371" max="15612" width="9.140625" style="1459"/>
    <col min="15613" max="15613" width="11.7109375" style="1459" customWidth="1"/>
    <col min="15614" max="15614" width="15.85546875" style="1459" customWidth="1"/>
    <col min="15615" max="15616" width="9.140625" style="1459"/>
    <col min="15617" max="15617" width="14.28515625" style="1459" customWidth="1"/>
    <col min="15618" max="15618" width="14.140625" style="1459" customWidth="1"/>
    <col min="15619" max="15620" width="9.140625" style="1459"/>
    <col min="15621" max="15621" width="16.140625" style="1459" customWidth="1"/>
    <col min="15622" max="15622" width="16.28515625" style="1459" customWidth="1"/>
    <col min="15623" max="15623" width="14" style="1459" customWidth="1"/>
    <col min="15624" max="15624" width="9.140625" style="1459"/>
    <col min="15625" max="15625" width="13.5703125" style="1459" customWidth="1"/>
    <col min="15626" max="15626" width="15.42578125" style="1459" customWidth="1"/>
    <col min="15627" max="15868" width="9.140625" style="1459"/>
    <col min="15869" max="15869" width="11.7109375" style="1459" customWidth="1"/>
    <col min="15870" max="15870" width="15.85546875" style="1459" customWidth="1"/>
    <col min="15871" max="15872" width="9.140625" style="1459"/>
    <col min="15873" max="15873" width="14.28515625" style="1459" customWidth="1"/>
    <col min="15874" max="15874" width="14.140625" style="1459" customWidth="1"/>
    <col min="15875" max="15876" width="9.140625" style="1459"/>
    <col min="15877" max="15877" width="16.140625" style="1459" customWidth="1"/>
    <col min="15878" max="15878" width="16.28515625" style="1459" customWidth="1"/>
    <col min="15879" max="15879" width="14" style="1459" customWidth="1"/>
    <col min="15880" max="15880" width="9.140625" style="1459"/>
    <col min="15881" max="15881" width="13.5703125" style="1459" customWidth="1"/>
    <col min="15882" max="15882" width="15.42578125" style="1459" customWidth="1"/>
    <col min="15883" max="16124" width="9.140625" style="1459"/>
    <col min="16125" max="16125" width="11.7109375" style="1459" customWidth="1"/>
    <col min="16126" max="16126" width="15.85546875" style="1459" customWidth="1"/>
    <col min="16127" max="16128" width="9.140625" style="1459"/>
    <col min="16129" max="16129" width="14.28515625" style="1459" customWidth="1"/>
    <col min="16130" max="16130" width="14.140625" style="1459" customWidth="1"/>
    <col min="16131" max="16132" width="9.140625" style="1459"/>
    <col min="16133" max="16133" width="16.140625" style="1459" customWidth="1"/>
    <col min="16134" max="16134" width="16.28515625" style="1459" customWidth="1"/>
    <col min="16135" max="16135" width="14" style="1459" customWidth="1"/>
    <col min="16136" max="16136" width="9.140625" style="1459"/>
    <col min="16137" max="16137" width="13.5703125" style="1459" customWidth="1"/>
    <col min="16138" max="16138" width="15.42578125" style="1459" customWidth="1"/>
    <col min="16139" max="16384" width="9.140625" style="1459"/>
  </cols>
  <sheetData>
    <row r="2" spans="2:11" ht="18">
      <c r="B2" s="2407"/>
      <c r="C2" s="2407"/>
      <c r="D2" s="2407"/>
      <c r="E2" s="2407"/>
      <c r="F2" s="2407"/>
      <c r="G2" s="2407"/>
      <c r="H2" s="2407"/>
      <c r="I2" s="2407"/>
      <c r="J2" s="2407"/>
      <c r="K2" s="2407"/>
    </row>
    <row r="4" spans="2:11" ht="18">
      <c r="B4" s="2408" t="s">
        <v>1158</v>
      </c>
      <c r="C4" s="2408"/>
      <c r="D4" s="2408"/>
      <c r="E4" s="2408"/>
      <c r="F4" s="2408"/>
      <c r="G4" s="2408"/>
      <c r="H4" s="2408"/>
    </row>
    <row r="5" spans="2:11" ht="18">
      <c r="B5" s="2409" t="s">
        <v>1056</v>
      </c>
      <c r="C5" s="2409"/>
      <c r="D5" s="2409"/>
      <c r="E5" s="2409"/>
      <c r="F5" s="2409"/>
      <c r="G5" s="2409"/>
      <c r="H5" s="2409"/>
      <c r="J5" s="2410" t="s">
        <v>1057</v>
      </c>
      <c r="K5" s="2410"/>
    </row>
    <row r="7" spans="2:11" ht="18">
      <c r="B7" s="1460" t="s">
        <v>1058</v>
      </c>
      <c r="C7" s="1460" t="s">
        <v>437</v>
      </c>
      <c r="D7" s="2411" t="s">
        <v>1108</v>
      </c>
      <c r="E7" s="2412"/>
      <c r="F7" s="2412"/>
      <c r="G7" s="2413"/>
      <c r="H7" s="2411" t="s">
        <v>1173</v>
      </c>
      <c r="I7" s="2412"/>
      <c r="J7" s="2412"/>
      <c r="K7" s="2413"/>
    </row>
    <row r="8" spans="2:11" ht="85.5">
      <c r="B8" s="1460"/>
      <c r="C8" s="1460"/>
      <c r="D8" s="1461" t="s">
        <v>1060</v>
      </c>
      <c r="E8" s="1461" t="s">
        <v>1061</v>
      </c>
      <c r="F8" s="1461" t="s">
        <v>438</v>
      </c>
      <c r="G8" s="1461" t="s">
        <v>1062</v>
      </c>
      <c r="H8" s="1461" t="s">
        <v>1060</v>
      </c>
      <c r="I8" s="1461" t="s">
        <v>1061</v>
      </c>
      <c r="J8" s="1461" t="s">
        <v>438</v>
      </c>
      <c r="K8" s="1461" t="s">
        <v>1062</v>
      </c>
    </row>
    <row r="9" spans="2:11" ht="18">
      <c r="B9" s="1460"/>
      <c r="C9" s="1460"/>
      <c r="D9" s="1460"/>
      <c r="E9" s="1460"/>
      <c r="F9" s="1460"/>
      <c r="G9" s="1460"/>
      <c r="H9" s="1460"/>
      <c r="I9" s="1460"/>
      <c r="J9" s="1460"/>
      <c r="K9" s="1460"/>
    </row>
    <row r="10" spans="2:11" ht="36">
      <c r="B10" s="1462">
        <v>1</v>
      </c>
      <c r="C10" s="1463" t="s">
        <v>1063</v>
      </c>
      <c r="D10" s="1460"/>
      <c r="E10" s="1460"/>
      <c r="F10" s="1460"/>
      <c r="G10" s="1460"/>
      <c r="H10" s="1460"/>
      <c r="I10" s="1460"/>
      <c r="J10" s="1460"/>
      <c r="K10" s="1460"/>
    </row>
    <row r="11" spans="2:11" ht="36">
      <c r="B11" s="1462">
        <v>2</v>
      </c>
      <c r="C11" s="1463" t="s">
        <v>1064</v>
      </c>
      <c r="D11" s="1323">
        <v>75</v>
      </c>
      <c r="E11" s="1323">
        <v>628</v>
      </c>
      <c r="F11" s="1464">
        <v>206.20000000000002</v>
      </c>
      <c r="G11" s="1465">
        <v>2.7493287037037035</v>
      </c>
      <c r="H11" s="1323">
        <v>77</v>
      </c>
      <c r="I11" s="1323">
        <v>303</v>
      </c>
      <c r="J11" s="1464">
        <v>65.548611111111114</v>
      </c>
      <c r="K11" s="1465">
        <v>0.85128472222222218</v>
      </c>
    </row>
    <row r="12" spans="2:11" ht="36">
      <c r="B12" s="1462">
        <v>3</v>
      </c>
      <c r="C12" s="1463" t="s">
        <v>1065</v>
      </c>
      <c r="D12" s="1380">
        <v>347</v>
      </c>
      <c r="E12" s="1380">
        <v>1829</v>
      </c>
      <c r="F12" s="1380" t="s">
        <v>2289</v>
      </c>
      <c r="G12" s="1379">
        <v>1.4274421296296296</v>
      </c>
      <c r="H12" s="1380">
        <v>351</v>
      </c>
      <c r="I12" s="1380">
        <v>1053</v>
      </c>
      <c r="J12" s="1379">
        <v>208.68958333333333</v>
      </c>
      <c r="K12" s="1381">
        <v>0.59456018518518516</v>
      </c>
    </row>
    <row r="17" spans="9:11" ht="18">
      <c r="I17" s="2406" t="s">
        <v>1097</v>
      </c>
      <c r="J17" s="2406"/>
      <c r="K17" s="2406"/>
    </row>
  </sheetData>
  <mergeCells count="7">
    <mergeCell ref="I17:K17"/>
    <mergeCell ref="B2:K2"/>
    <mergeCell ref="B4:H4"/>
    <mergeCell ref="B5:H5"/>
    <mergeCell ref="J5:K5"/>
    <mergeCell ref="D7:G7"/>
    <mergeCell ref="H7:K7"/>
  </mergeCells>
  <pageMargins left="0.70866141732283472" right="0.70866141732283472" top="0.74803149606299213" bottom="0.74803149606299213" header="0.31496062992125984" footer="0.31496062992125984"/>
  <pageSetup paperSize="9" scale="78"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74"/>
  <sheetViews>
    <sheetView showGridLines="0" view="pageBreakPreview" topLeftCell="A4" zoomScale="80" zoomScaleNormal="70" zoomScaleSheetLayoutView="80" workbookViewId="0">
      <selection activeCell="C17" sqref="C17:G17"/>
    </sheetView>
  </sheetViews>
  <sheetFormatPr defaultRowHeight="15"/>
  <cols>
    <col min="1" max="1" width="2.42578125" style="1466" customWidth="1"/>
    <col min="2" max="2" width="9" style="1466" customWidth="1"/>
    <col min="3" max="3" width="82.7109375" style="1466" bestFit="1" customWidth="1"/>
    <col min="4" max="7" width="14.5703125" style="1466" customWidth="1"/>
    <col min="8" max="217" width="9.140625" style="1466"/>
    <col min="218" max="218" width="9" style="1466" customWidth="1"/>
    <col min="219" max="219" width="68.28515625" style="1466" customWidth="1"/>
    <col min="220" max="473" width="9.140625" style="1466"/>
    <col min="474" max="474" width="9" style="1466" customWidth="1"/>
    <col min="475" max="475" width="68.28515625" style="1466" customWidth="1"/>
    <col min="476" max="729" width="9.140625" style="1466"/>
    <col min="730" max="730" width="9" style="1466" customWidth="1"/>
    <col min="731" max="731" width="68.28515625" style="1466" customWidth="1"/>
    <col min="732" max="985" width="9.140625" style="1466"/>
    <col min="986" max="986" width="9" style="1466" customWidth="1"/>
    <col min="987" max="987" width="68.28515625" style="1466" customWidth="1"/>
    <col min="988" max="1241" width="9.140625" style="1466"/>
    <col min="1242" max="1242" width="9" style="1466" customWidth="1"/>
    <col min="1243" max="1243" width="68.28515625" style="1466" customWidth="1"/>
    <col min="1244" max="1497" width="9.140625" style="1466"/>
    <col min="1498" max="1498" width="9" style="1466" customWidth="1"/>
    <col min="1499" max="1499" width="68.28515625" style="1466" customWidth="1"/>
    <col min="1500" max="1753" width="9.140625" style="1466"/>
    <col min="1754" max="1754" width="9" style="1466" customWidth="1"/>
    <col min="1755" max="1755" width="68.28515625" style="1466" customWidth="1"/>
    <col min="1756" max="2009" width="9.140625" style="1466"/>
    <col min="2010" max="2010" width="9" style="1466" customWidth="1"/>
    <col min="2011" max="2011" width="68.28515625" style="1466" customWidth="1"/>
    <col min="2012" max="2265" width="9.140625" style="1466"/>
    <col min="2266" max="2266" width="9" style="1466" customWidth="1"/>
    <col min="2267" max="2267" width="68.28515625" style="1466" customWidth="1"/>
    <col min="2268" max="2521" width="9.140625" style="1466"/>
    <col min="2522" max="2522" width="9" style="1466" customWidth="1"/>
    <col min="2523" max="2523" width="68.28515625" style="1466" customWidth="1"/>
    <col min="2524" max="2777" width="9.140625" style="1466"/>
    <col min="2778" max="2778" width="9" style="1466" customWidth="1"/>
    <col min="2779" max="2779" width="68.28515625" style="1466" customWidth="1"/>
    <col min="2780" max="3033" width="9.140625" style="1466"/>
    <col min="3034" max="3034" width="9" style="1466" customWidth="1"/>
    <col min="3035" max="3035" width="68.28515625" style="1466" customWidth="1"/>
    <col min="3036" max="3289" width="9.140625" style="1466"/>
    <col min="3290" max="3290" width="9" style="1466" customWidth="1"/>
    <col min="3291" max="3291" width="68.28515625" style="1466" customWidth="1"/>
    <col min="3292" max="3545" width="9.140625" style="1466"/>
    <col min="3546" max="3546" width="9" style="1466" customWidth="1"/>
    <col min="3547" max="3547" width="68.28515625" style="1466" customWidth="1"/>
    <col min="3548" max="3801" width="9.140625" style="1466"/>
    <col min="3802" max="3802" width="9" style="1466" customWidth="1"/>
    <col min="3803" max="3803" width="68.28515625" style="1466" customWidth="1"/>
    <col min="3804" max="4057" width="9.140625" style="1466"/>
    <col min="4058" max="4058" width="9" style="1466" customWidth="1"/>
    <col min="4059" max="4059" width="68.28515625" style="1466" customWidth="1"/>
    <col min="4060" max="4313" width="9.140625" style="1466"/>
    <col min="4314" max="4314" width="9" style="1466" customWidth="1"/>
    <col min="4315" max="4315" width="68.28515625" style="1466" customWidth="1"/>
    <col min="4316" max="4569" width="9.140625" style="1466"/>
    <col min="4570" max="4570" width="9" style="1466" customWidth="1"/>
    <col min="4571" max="4571" width="68.28515625" style="1466" customWidth="1"/>
    <col min="4572" max="4825" width="9.140625" style="1466"/>
    <col min="4826" max="4826" width="9" style="1466" customWidth="1"/>
    <col min="4827" max="4827" width="68.28515625" style="1466" customWidth="1"/>
    <col min="4828" max="5081" width="9.140625" style="1466"/>
    <col min="5082" max="5082" width="9" style="1466" customWidth="1"/>
    <col min="5083" max="5083" width="68.28515625" style="1466" customWidth="1"/>
    <col min="5084" max="5337" width="9.140625" style="1466"/>
    <col min="5338" max="5338" width="9" style="1466" customWidth="1"/>
    <col min="5339" max="5339" width="68.28515625" style="1466" customWidth="1"/>
    <col min="5340" max="5593" width="9.140625" style="1466"/>
    <col min="5594" max="5594" width="9" style="1466" customWidth="1"/>
    <col min="5595" max="5595" width="68.28515625" style="1466" customWidth="1"/>
    <col min="5596" max="5849" width="9.140625" style="1466"/>
    <col min="5850" max="5850" width="9" style="1466" customWidth="1"/>
    <col min="5851" max="5851" width="68.28515625" style="1466" customWidth="1"/>
    <col min="5852" max="6105" width="9.140625" style="1466"/>
    <col min="6106" max="6106" width="9" style="1466" customWidth="1"/>
    <col min="6107" max="6107" width="68.28515625" style="1466" customWidth="1"/>
    <col min="6108" max="6361" width="9.140625" style="1466"/>
    <col min="6362" max="6362" width="9" style="1466" customWidth="1"/>
    <col min="6363" max="6363" width="68.28515625" style="1466" customWidth="1"/>
    <col min="6364" max="6617" width="9.140625" style="1466"/>
    <col min="6618" max="6618" width="9" style="1466" customWidth="1"/>
    <col min="6619" max="6619" width="68.28515625" style="1466" customWidth="1"/>
    <col min="6620" max="6873" width="9.140625" style="1466"/>
    <col min="6874" max="6874" width="9" style="1466" customWidth="1"/>
    <col min="6875" max="6875" width="68.28515625" style="1466" customWidth="1"/>
    <col min="6876" max="7129" width="9.140625" style="1466"/>
    <col min="7130" max="7130" width="9" style="1466" customWidth="1"/>
    <col min="7131" max="7131" width="68.28515625" style="1466" customWidth="1"/>
    <col min="7132" max="7385" width="9.140625" style="1466"/>
    <col min="7386" max="7386" width="9" style="1466" customWidth="1"/>
    <col min="7387" max="7387" width="68.28515625" style="1466" customWidth="1"/>
    <col min="7388" max="7641" width="9.140625" style="1466"/>
    <col min="7642" max="7642" width="9" style="1466" customWidth="1"/>
    <col min="7643" max="7643" width="68.28515625" style="1466" customWidth="1"/>
    <col min="7644" max="7897" width="9.140625" style="1466"/>
    <col min="7898" max="7898" width="9" style="1466" customWidth="1"/>
    <col min="7899" max="7899" width="68.28515625" style="1466" customWidth="1"/>
    <col min="7900" max="8153" width="9.140625" style="1466"/>
    <col min="8154" max="8154" width="9" style="1466" customWidth="1"/>
    <col min="8155" max="8155" width="68.28515625" style="1466" customWidth="1"/>
    <col min="8156" max="8409" width="9.140625" style="1466"/>
    <col min="8410" max="8410" width="9" style="1466" customWidth="1"/>
    <col min="8411" max="8411" width="68.28515625" style="1466" customWidth="1"/>
    <col min="8412" max="8665" width="9.140625" style="1466"/>
    <col min="8666" max="8666" width="9" style="1466" customWidth="1"/>
    <col min="8667" max="8667" width="68.28515625" style="1466" customWidth="1"/>
    <col min="8668" max="8921" width="9.140625" style="1466"/>
    <col min="8922" max="8922" width="9" style="1466" customWidth="1"/>
    <col min="8923" max="8923" width="68.28515625" style="1466" customWidth="1"/>
    <col min="8924" max="9177" width="9.140625" style="1466"/>
    <col min="9178" max="9178" width="9" style="1466" customWidth="1"/>
    <col min="9179" max="9179" width="68.28515625" style="1466" customWidth="1"/>
    <col min="9180" max="9433" width="9.140625" style="1466"/>
    <col min="9434" max="9434" width="9" style="1466" customWidth="1"/>
    <col min="9435" max="9435" width="68.28515625" style="1466" customWidth="1"/>
    <col min="9436" max="9689" width="9.140625" style="1466"/>
    <col min="9690" max="9690" width="9" style="1466" customWidth="1"/>
    <col min="9691" max="9691" width="68.28515625" style="1466" customWidth="1"/>
    <col min="9692" max="9945" width="9.140625" style="1466"/>
    <col min="9946" max="9946" width="9" style="1466" customWidth="1"/>
    <col min="9947" max="9947" width="68.28515625" style="1466" customWidth="1"/>
    <col min="9948" max="10201" width="9.140625" style="1466"/>
    <col min="10202" max="10202" width="9" style="1466" customWidth="1"/>
    <col min="10203" max="10203" width="68.28515625" style="1466" customWidth="1"/>
    <col min="10204" max="10457" width="9.140625" style="1466"/>
    <col min="10458" max="10458" width="9" style="1466" customWidth="1"/>
    <col min="10459" max="10459" width="68.28515625" style="1466" customWidth="1"/>
    <col min="10460" max="10713" width="9.140625" style="1466"/>
    <col min="10714" max="10714" width="9" style="1466" customWidth="1"/>
    <col min="10715" max="10715" width="68.28515625" style="1466" customWidth="1"/>
    <col min="10716" max="10969" width="9.140625" style="1466"/>
    <col min="10970" max="10970" width="9" style="1466" customWidth="1"/>
    <col min="10971" max="10971" width="68.28515625" style="1466" customWidth="1"/>
    <col min="10972" max="11225" width="9.140625" style="1466"/>
    <col min="11226" max="11226" width="9" style="1466" customWidth="1"/>
    <col min="11227" max="11227" width="68.28515625" style="1466" customWidth="1"/>
    <col min="11228" max="11481" width="9.140625" style="1466"/>
    <col min="11482" max="11482" width="9" style="1466" customWidth="1"/>
    <col min="11483" max="11483" width="68.28515625" style="1466" customWidth="1"/>
    <col min="11484" max="11737" width="9.140625" style="1466"/>
    <col min="11738" max="11738" width="9" style="1466" customWidth="1"/>
    <col min="11739" max="11739" width="68.28515625" style="1466" customWidth="1"/>
    <col min="11740" max="11993" width="9.140625" style="1466"/>
    <col min="11994" max="11994" width="9" style="1466" customWidth="1"/>
    <col min="11995" max="11995" width="68.28515625" style="1466" customWidth="1"/>
    <col min="11996" max="12249" width="9.140625" style="1466"/>
    <col min="12250" max="12250" width="9" style="1466" customWidth="1"/>
    <col min="12251" max="12251" width="68.28515625" style="1466" customWidth="1"/>
    <col min="12252" max="12505" width="9.140625" style="1466"/>
    <col min="12506" max="12506" width="9" style="1466" customWidth="1"/>
    <col min="12507" max="12507" width="68.28515625" style="1466" customWidth="1"/>
    <col min="12508" max="12761" width="9.140625" style="1466"/>
    <col min="12762" max="12762" width="9" style="1466" customWidth="1"/>
    <col min="12763" max="12763" width="68.28515625" style="1466" customWidth="1"/>
    <col min="12764" max="13017" width="9.140625" style="1466"/>
    <col min="13018" max="13018" width="9" style="1466" customWidth="1"/>
    <col min="13019" max="13019" width="68.28515625" style="1466" customWidth="1"/>
    <col min="13020" max="13273" width="9.140625" style="1466"/>
    <col min="13274" max="13274" width="9" style="1466" customWidth="1"/>
    <col min="13275" max="13275" width="68.28515625" style="1466" customWidth="1"/>
    <col min="13276" max="13529" width="9.140625" style="1466"/>
    <col min="13530" max="13530" width="9" style="1466" customWidth="1"/>
    <col min="13531" max="13531" width="68.28515625" style="1466" customWidth="1"/>
    <col min="13532" max="13785" width="9.140625" style="1466"/>
    <col min="13786" max="13786" width="9" style="1466" customWidth="1"/>
    <col min="13787" max="13787" width="68.28515625" style="1466" customWidth="1"/>
    <col min="13788" max="14041" width="9.140625" style="1466"/>
    <col min="14042" max="14042" width="9" style="1466" customWidth="1"/>
    <col min="14043" max="14043" width="68.28515625" style="1466" customWidth="1"/>
    <col min="14044" max="14297" width="9.140625" style="1466"/>
    <col min="14298" max="14298" width="9" style="1466" customWidth="1"/>
    <col min="14299" max="14299" width="68.28515625" style="1466" customWidth="1"/>
    <col min="14300" max="14553" width="9.140625" style="1466"/>
    <col min="14554" max="14554" width="9" style="1466" customWidth="1"/>
    <col min="14555" max="14555" width="68.28515625" style="1466" customWidth="1"/>
    <col min="14556" max="14809" width="9.140625" style="1466"/>
    <col min="14810" max="14810" width="9" style="1466" customWidth="1"/>
    <col min="14811" max="14811" width="68.28515625" style="1466" customWidth="1"/>
    <col min="14812" max="15065" width="9.140625" style="1466"/>
    <col min="15066" max="15066" width="9" style="1466" customWidth="1"/>
    <col min="15067" max="15067" width="68.28515625" style="1466" customWidth="1"/>
    <col min="15068" max="15321" width="9.140625" style="1466"/>
    <col min="15322" max="15322" width="9" style="1466" customWidth="1"/>
    <col min="15323" max="15323" width="68.28515625" style="1466" customWidth="1"/>
    <col min="15324" max="15577" width="9.140625" style="1466"/>
    <col min="15578" max="15578" width="9" style="1466" customWidth="1"/>
    <col min="15579" max="15579" width="68.28515625" style="1466" customWidth="1"/>
    <col min="15580" max="15833" width="9.140625" style="1466"/>
    <col min="15834" max="15834" width="9" style="1466" customWidth="1"/>
    <col min="15835" max="15835" width="68.28515625" style="1466" customWidth="1"/>
    <col min="15836" max="16089" width="9.140625" style="1466"/>
    <col min="16090" max="16090" width="9" style="1466" customWidth="1"/>
    <col min="16091" max="16091" width="68.28515625" style="1466" customWidth="1"/>
    <col min="16092" max="16384" width="9.140625" style="1466"/>
  </cols>
  <sheetData>
    <row r="1" spans="1:8">
      <c r="A1" s="1459"/>
      <c r="B1" s="1459"/>
      <c r="C1" s="1459"/>
      <c r="D1" s="1459"/>
      <c r="E1" s="1459"/>
      <c r="F1" s="1459"/>
      <c r="G1" s="1459"/>
      <c r="H1" s="1459"/>
    </row>
    <row r="2" spans="1:8" ht="21" customHeight="1">
      <c r="A2" s="1459"/>
      <c r="B2" s="2057"/>
      <c r="C2" s="2057"/>
      <c r="D2" s="2057"/>
      <c r="E2" s="2057"/>
      <c r="F2" s="2057"/>
      <c r="G2" s="2057"/>
      <c r="H2" s="1459"/>
    </row>
    <row r="3" spans="1:8" ht="21" customHeight="1">
      <c r="A3" s="1459"/>
      <c r="B3" s="2415" t="s">
        <v>1158</v>
      </c>
      <c r="C3" s="2415"/>
      <c r="D3" s="2415"/>
      <c r="E3" s="2415"/>
      <c r="F3" s="2415"/>
      <c r="G3" s="2415"/>
      <c r="H3" s="1459"/>
    </row>
    <row r="4" spans="1:8" ht="21" customHeight="1">
      <c r="A4" s="1459"/>
      <c r="B4" s="1572" t="s">
        <v>1066</v>
      </c>
      <c r="C4" s="1572"/>
      <c r="D4" s="1572"/>
      <c r="E4" s="1572"/>
      <c r="F4" s="1572"/>
      <c r="G4" s="1572" t="s">
        <v>1575</v>
      </c>
      <c r="H4" s="1459"/>
    </row>
    <row r="5" spans="1:8" ht="25.5" customHeight="1">
      <c r="A5" s="1459"/>
      <c r="B5" s="2057"/>
      <c r="C5" s="2057"/>
      <c r="D5" s="2057"/>
      <c r="E5" s="2057"/>
      <c r="F5" s="2057"/>
      <c r="G5" s="2057"/>
      <c r="H5" s="1459"/>
    </row>
    <row r="6" spans="1:8" ht="31.5" customHeight="1">
      <c r="A6" s="1459"/>
      <c r="B6" s="1573" t="s">
        <v>1067</v>
      </c>
      <c r="C6" s="1573" t="s">
        <v>1068</v>
      </c>
      <c r="D6" s="2416" t="s">
        <v>1864</v>
      </c>
      <c r="E6" s="2416"/>
      <c r="F6" s="2416" t="s">
        <v>2711</v>
      </c>
      <c r="G6" s="2416"/>
      <c r="H6" s="1459"/>
    </row>
    <row r="7" spans="1:8" ht="45">
      <c r="A7" s="1459"/>
      <c r="B7" s="1573"/>
      <c r="C7" s="1573"/>
      <c r="D7" s="1310" t="s">
        <v>1069</v>
      </c>
      <c r="E7" s="1311" t="s">
        <v>439</v>
      </c>
      <c r="F7" s="1310" t="s">
        <v>1069</v>
      </c>
      <c r="G7" s="1311" t="s">
        <v>439</v>
      </c>
      <c r="H7" s="1459"/>
    </row>
    <row r="8" spans="1:8" ht="21" customHeight="1">
      <c r="A8" s="1459"/>
      <c r="B8" s="1323" t="s">
        <v>137</v>
      </c>
      <c r="C8" s="1574" t="s">
        <v>1070</v>
      </c>
      <c r="D8" s="1323"/>
      <c r="E8" s="1323"/>
      <c r="F8" s="1323"/>
      <c r="G8" s="1323"/>
      <c r="H8" s="1459"/>
    </row>
    <row r="9" spans="1:8" ht="21" customHeight="1">
      <c r="A9" s="1459"/>
      <c r="B9" s="1573" t="s">
        <v>302</v>
      </c>
      <c r="C9" s="1574" t="s">
        <v>1071</v>
      </c>
      <c r="D9" s="1323"/>
      <c r="E9" s="1575"/>
      <c r="F9" s="1323"/>
      <c r="G9" s="1575"/>
      <c r="H9" s="1459"/>
    </row>
    <row r="10" spans="1:8" ht="21" customHeight="1">
      <c r="A10" s="1459"/>
      <c r="B10" s="1573" t="s">
        <v>303</v>
      </c>
      <c r="C10" s="1574" t="s">
        <v>1072</v>
      </c>
      <c r="D10" s="1576"/>
      <c r="E10" s="1577"/>
      <c r="F10" s="1576"/>
      <c r="G10" s="1577"/>
      <c r="H10" s="1459"/>
    </row>
    <row r="11" spans="1:8" ht="21" customHeight="1">
      <c r="A11" s="1459"/>
      <c r="B11" s="1573" t="s">
        <v>1067</v>
      </c>
      <c r="C11" s="2418" t="s">
        <v>1068</v>
      </c>
      <c r="D11" s="2419"/>
      <c r="E11" s="2419"/>
      <c r="F11" s="2419"/>
      <c r="G11" s="2420"/>
      <c r="H11" s="1459"/>
    </row>
    <row r="12" spans="1:8" ht="21" customHeight="1">
      <c r="A12" s="1459"/>
      <c r="B12" s="1573"/>
      <c r="C12" s="1573"/>
      <c r="D12" s="1323"/>
      <c r="E12" s="1332"/>
      <c r="F12" s="1323"/>
      <c r="G12" s="1332"/>
      <c r="H12" s="1459"/>
    </row>
    <row r="13" spans="1:8" ht="21" customHeight="1">
      <c r="A13" s="1459"/>
      <c r="B13" s="1573" t="s">
        <v>308</v>
      </c>
      <c r="C13" s="1574" t="s">
        <v>1073</v>
      </c>
      <c r="D13" s="1323"/>
      <c r="E13" s="1323"/>
      <c r="F13" s="1323"/>
      <c r="G13" s="1575"/>
      <c r="H13" s="1459"/>
    </row>
    <row r="14" spans="1:8" ht="21" customHeight="1">
      <c r="A14" s="1459"/>
      <c r="B14" s="1573" t="s">
        <v>425</v>
      </c>
      <c r="C14" s="1574" t="s">
        <v>1074</v>
      </c>
      <c r="D14" s="1576"/>
      <c r="E14" s="1578"/>
      <c r="F14" s="1576"/>
      <c r="G14" s="1578"/>
      <c r="H14" s="1459"/>
    </row>
    <row r="15" spans="1:8" ht="21" customHeight="1">
      <c r="A15" s="1459"/>
      <c r="B15" s="1573" t="s">
        <v>426</v>
      </c>
      <c r="C15" s="1574" t="s">
        <v>1075</v>
      </c>
      <c r="D15" s="1323"/>
      <c r="E15" s="1464"/>
      <c r="F15" s="1323"/>
      <c r="G15" s="1575"/>
      <c r="H15" s="1459"/>
    </row>
    <row r="16" spans="1:8" ht="21" customHeight="1">
      <c r="A16" s="1459"/>
      <c r="B16" s="1579"/>
      <c r="C16" s="1580"/>
      <c r="D16" s="2417"/>
      <c r="E16" s="2417"/>
      <c r="F16" s="2417"/>
      <c r="G16" s="2417"/>
      <c r="H16" s="1459"/>
    </row>
    <row r="17" spans="1:8" ht="21" customHeight="1">
      <c r="A17" s="1459"/>
      <c r="B17" s="1579" t="s">
        <v>142</v>
      </c>
      <c r="C17" s="2421" t="s">
        <v>440</v>
      </c>
      <c r="D17" s="2422"/>
      <c r="E17" s="2422"/>
      <c r="F17" s="2422"/>
      <c r="G17" s="2423"/>
      <c r="H17" s="1459"/>
    </row>
    <row r="18" spans="1:8" ht="21" customHeight="1">
      <c r="A18" s="1459"/>
      <c r="B18" s="1579"/>
      <c r="C18" s="1580"/>
      <c r="D18" s="1581"/>
      <c r="E18" s="1581"/>
      <c r="F18" s="1581"/>
      <c r="G18" s="1581"/>
      <c r="H18" s="1459"/>
    </row>
    <row r="19" spans="1:8" ht="27.75" customHeight="1">
      <c r="A19" s="1459"/>
      <c r="B19" s="1579" t="s">
        <v>183</v>
      </c>
      <c r="C19" s="2424" t="s">
        <v>441</v>
      </c>
      <c r="D19" s="2425"/>
      <c r="E19" s="2425"/>
      <c r="F19" s="2425"/>
      <c r="G19" s="2426"/>
      <c r="H19" s="1459"/>
    </row>
    <row r="20" spans="1:8" ht="21" customHeight="1">
      <c r="A20" s="1459"/>
      <c r="B20" s="1579"/>
      <c r="C20" s="1580"/>
      <c r="D20" s="1581"/>
      <c r="E20" s="1581"/>
      <c r="F20" s="1581"/>
      <c r="G20" s="1581"/>
      <c r="H20" s="1459"/>
    </row>
    <row r="21" spans="1:8" ht="21" customHeight="1">
      <c r="A21" s="1459"/>
      <c r="B21" s="1582"/>
      <c r="C21" s="1583"/>
      <c r="D21" s="1584"/>
      <c r="E21" s="1584"/>
      <c r="F21" s="1584"/>
      <c r="G21" s="1584"/>
      <c r="H21" s="1459"/>
    </row>
    <row r="22" spans="1:8" ht="21" customHeight="1">
      <c r="A22" s="1459"/>
      <c r="B22" s="1459"/>
      <c r="C22" s="1459"/>
      <c r="D22" s="1459"/>
      <c r="E22" s="1459"/>
      <c r="F22" s="1459"/>
      <c r="G22" s="1459"/>
      <c r="H22" s="1459"/>
    </row>
    <row r="23" spans="1:8" ht="21" customHeight="1">
      <c r="A23" s="1459"/>
      <c r="B23" s="1459"/>
      <c r="C23" s="1459"/>
      <c r="D23" s="1459"/>
      <c r="E23" s="1459"/>
      <c r="F23" s="2414" t="s">
        <v>1097</v>
      </c>
      <c r="G23" s="2414"/>
      <c r="H23" s="1459"/>
    </row>
    <row r="24" spans="1:8" ht="21" customHeight="1">
      <c r="A24" s="1459"/>
      <c r="B24" s="1459"/>
      <c r="C24" s="1459"/>
      <c r="D24" s="1459"/>
      <c r="E24" s="1459"/>
      <c r="F24" s="1459"/>
      <c r="G24" s="1459"/>
      <c r="H24" s="1459"/>
    </row>
    <row r="25" spans="1:8" ht="21" customHeight="1">
      <c r="A25" s="1459"/>
      <c r="B25" s="1459"/>
      <c r="C25" s="1459"/>
      <c r="D25" s="1459"/>
      <c r="E25" s="1459"/>
      <c r="F25" s="1459"/>
      <c r="G25" s="1459"/>
      <c r="H25" s="1459"/>
    </row>
    <row r="26" spans="1:8" ht="21" customHeight="1">
      <c r="A26" s="1459"/>
      <c r="B26" s="1459"/>
      <c r="C26" s="1459"/>
      <c r="D26" s="1459"/>
      <c r="E26" s="1459"/>
      <c r="F26" s="1459"/>
      <c r="G26" s="1459"/>
      <c r="H26" s="1459"/>
    </row>
    <row r="27" spans="1:8" ht="21" customHeight="1">
      <c r="A27" s="1459"/>
      <c r="B27" s="1459"/>
      <c r="C27" s="1459"/>
      <c r="D27" s="1459"/>
      <c r="E27" s="1459"/>
      <c r="F27" s="1459"/>
      <c r="G27" s="1459"/>
      <c r="H27" s="1459"/>
    </row>
    <row r="28" spans="1:8" ht="21" customHeight="1">
      <c r="A28" s="1459"/>
      <c r="B28" s="1459"/>
      <c r="C28" s="1459"/>
      <c r="D28" s="1459"/>
      <c r="E28" s="1459"/>
      <c r="F28" s="1459"/>
      <c r="G28" s="1459"/>
      <c r="H28" s="1459"/>
    </row>
    <row r="29" spans="1:8" ht="21" customHeight="1">
      <c r="A29" s="1459"/>
      <c r="B29" s="1459"/>
      <c r="C29" s="1459"/>
      <c r="D29" s="1459"/>
      <c r="E29" s="1459"/>
      <c r="F29" s="1459"/>
      <c r="G29" s="1459"/>
      <c r="H29" s="1459"/>
    </row>
    <row r="30" spans="1:8" ht="21" customHeight="1">
      <c r="A30" s="1459"/>
      <c r="B30" s="1459"/>
      <c r="C30" s="1459"/>
      <c r="D30" s="1459"/>
      <c r="E30" s="1459"/>
      <c r="F30" s="1459"/>
      <c r="G30" s="1459"/>
      <c r="H30" s="1459"/>
    </row>
    <row r="31" spans="1:8" ht="21" customHeight="1">
      <c r="A31" s="1459"/>
      <c r="B31" s="1459"/>
      <c r="C31" s="1459"/>
      <c r="D31" s="1459"/>
      <c r="E31" s="1459"/>
      <c r="F31" s="1459"/>
      <c r="G31" s="1459"/>
      <c r="H31" s="1459"/>
    </row>
    <row r="32" spans="1:8" ht="21" customHeight="1">
      <c r="A32" s="1459"/>
      <c r="B32" s="1459"/>
      <c r="C32" s="1459"/>
      <c r="D32" s="1459"/>
      <c r="E32" s="1459"/>
      <c r="F32" s="1459"/>
      <c r="G32" s="1459"/>
      <c r="H32" s="1459"/>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sheetData>
  <mergeCells count="11">
    <mergeCell ref="F23:G23"/>
    <mergeCell ref="B2:G2"/>
    <mergeCell ref="B3:G3"/>
    <mergeCell ref="B5:G5"/>
    <mergeCell ref="D6:E6"/>
    <mergeCell ref="F6:G6"/>
    <mergeCell ref="D16:E16"/>
    <mergeCell ref="F16:G16"/>
    <mergeCell ref="C11:G11"/>
    <mergeCell ref="C17:G17"/>
    <mergeCell ref="C19:G19"/>
  </mergeCells>
  <pageMargins left="0.7" right="0.7" top="0.75" bottom="0.75" header="0.3" footer="0.3"/>
  <pageSetup paperSize="9" scale="81"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G20"/>
  <sheetViews>
    <sheetView showGridLines="0" view="pageBreakPreview" zoomScale="85" zoomScaleNormal="70" zoomScaleSheetLayoutView="85" workbookViewId="0">
      <selection activeCell="G6" sqref="G6"/>
    </sheetView>
  </sheetViews>
  <sheetFormatPr defaultRowHeight="15"/>
  <cols>
    <col min="1" max="1" width="3.140625" style="156" customWidth="1"/>
    <col min="2" max="2" width="9.140625" style="156"/>
    <col min="3" max="3" width="22.5703125" style="156" customWidth="1"/>
    <col min="4" max="4" width="15.7109375" style="156" bestFit="1" customWidth="1"/>
    <col min="5" max="5" width="17.140625" style="156" customWidth="1"/>
    <col min="6" max="6" width="15.7109375" style="156" bestFit="1" customWidth="1"/>
    <col min="7" max="7" width="20.5703125" style="156" customWidth="1"/>
    <col min="8" max="255" width="9.140625" style="156"/>
    <col min="256" max="256" width="16.85546875" style="156" customWidth="1"/>
    <col min="257" max="257" width="26.140625" style="156" customWidth="1"/>
    <col min="258" max="258" width="17.140625" style="156" customWidth="1"/>
    <col min="259" max="259" width="14.85546875" style="156" customWidth="1"/>
    <col min="260" max="260" width="20.5703125" style="156" customWidth="1"/>
    <col min="261" max="261" width="15.140625" style="156" customWidth="1"/>
    <col min="262" max="262" width="24.28515625" style="156" customWidth="1"/>
    <col min="263" max="511" width="9.140625" style="156"/>
    <col min="512" max="512" width="16.85546875" style="156" customWidth="1"/>
    <col min="513" max="513" width="26.140625" style="156" customWidth="1"/>
    <col min="514" max="514" width="17.140625" style="156" customWidth="1"/>
    <col min="515" max="515" width="14.85546875" style="156" customWidth="1"/>
    <col min="516" max="516" width="20.5703125" style="156" customWidth="1"/>
    <col min="517" max="517" width="15.140625" style="156" customWidth="1"/>
    <col min="518" max="518" width="24.28515625" style="156" customWidth="1"/>
    <col min="519" max="767" width="9.140625" style="156"/>
    <col min="768" max="768" width="16.85546875" style="156" customWidth="1"/>
    <col min="769" max="769" width="26.140625" style="156" customWidth="1"/>
    <col min="770" max="770" width="17.140625" style="156" customWidth="1"/>
    <col min="771" max="771" width="14.85546875" style="156" customWidth="1"/>
    <col min="772" max="772" width="20.5703125" style="156" customWidth="1"/>
    <col min="773" max="773" width="15.140625" style="156" customWidth="1"/>
    <col min="774" max="774" width="24.28515625" style="156" customWidth="1"/>
    <col min="775" max="1023" width="9.140625" style="156"/>
    <col min="1024" max="1024" width="16.85546875" style="156" customWidth="1"/>
    <col min="1025" max="1025" width="26.140625" style="156" customWidth="1"/>
    <col min="1026" max="1026" width="17.140625" style="156" customWidth="1"/>
    <col min="1027" max="1027" width="14.85546875" style="156" customWidth="1"/>
    <col min="1028" max="1028" width="20.5703125" style="156" customWidth="1"/>
    <col min="1029" max="1029" width="15.140625" style="156" customWidth="1"/>
    <col min="1030" max="1030" width="24.28515625" style="156" customWidth="1"/>
    <col min="1031" max="1279" width="9.140625" style="156"/>
    <col min="1280" max="1280" width="16.85546875" style="156" customWidth="1"/>
    <col min="1281" max="1281" width="26.140625" style="156" customWidth="1"/>
    <col min="1282" max="1282" width="17.140625" style="156" customWidth="1"/>
    <col min="1283" max="1283" width="14.85546875" style="156" customWidth="1"/>
    <col min="1284" max="1284" width="20.5703125" style="156" customWidth="1"/>
    <col min="1285" max="1285" width="15.140625" style="156" customWidth="1"/>
    <col min="1286" max="1286" width="24.28515625" style="156" customWidth="1"/>
    <col min="1287" max="1535" width="9.140625" style="156"/>
    <col min="1536" max="1536" width="16.85546875" style="156" customWidth="1"/>
    <col min="1537" max="1537" width="26.140625" style="156" customWidth="1"/>
    <col min="1538" max="1538" width="17.140625" style="156" customWidth="1"/>
    <col min="1539" max="1539" width="14.85546875" style="156" customWidth="1"/>
    <col min="1540" max="1540" width="20.5703125" style="156" customWidth="1"/>
    <col min="1541" max="1541" width="15.140625" style="156" customWidth="1"/>
    <col min="1542" max="1542" width="24.28515625" style="156" customWidth="1"/>
    <col min="1543" max="1791" width="9.140625" style="156"/>
    <col min="1792" max="1792" width="16.85546875" style="156" customWidth="1"/>
    <col min="1793" max="1793" width="26.140625" style="156" customWidth="1"/>
    <col min="1794" max="1794" width="17.140625" style="156" customWidth="1"/>
    <col min="1795" max="1795" width="14.85546875" style="156" customWidth="1"/>
    <col min="1796" max="1796" width="20.5703125" style="156" customWidth="1"/>
    <col min="1797" max="1797" width="15.140625" style="156" customWidth="1"/>
    <col min="1798" max="1798" width="24.28515625" style="156" customWidth="1"/>
    <col min="1799" max="2047" width="9.140625" style="156"/>
    <col min="2048" max="2048" width="16.85546875" style="156" customWidth="1"/>
    <col min="2049" max="2049" width="26.140625" style="156" customWidth="1"/>
    <col min="2050" max="2050" width="17.140625" style="156" customWidth="1"/>
    <col min="2051" max="2051" width="14.85546875" style="156" customWidth="1"/>
    <col min="2052" max="2052" width="20.5703125" style="156" customWidth="1"/>
    <col min="2053" max="2053" width="15.140625" style="156" customWidth="1"/>
    <col min="2054" max="2054" width="24.28515625" style="156" customWidth="1"/>
    <col min="2055" max="2303" width="9.140625" style="156"/>
    <col min="2304" max="2304" width="16.85546875" style="156" customWidth="1"/>
    <col min="2305" max="2305" width="26.140625" style="156" customWidth="1"/>
    <col min="2306" max="2306" width="17.140625" style="156" customWidth="1"/>
    <col min="2307" max="2307" width="14.85546875" style="156" customWidth="1"/>
    <col min="2308" max="2308" width="20.5703125" style="156" customWidth="1"/>
    <col min="2309" max="2309" width="15.140625" style="156" customWidth="1"/>
    <col min="2310" max="2310" width="24.28515625" style="156" customWidth="1"/>
    <col min="2311" max="2559" width="9.140625" style="156"/>
    <col min="2560" max="2560" width="16.85546875" style="156" customWidth="1"/>
    <col min="2561" max="2561" width="26.140625" style="156" customWidth="1"/>
    <col min="2562" max="2562" width="17.140625" style="156" customWidth="1"/>
    <col min="2563" max="2563" width="14.85546875" style="156" customWidth="1"/>
    <col min="2564" max="2564" width="20.5703125" style="156" customWidth="1"/>
    <col min="2565" max="2565" width="15.140625" style="156" customWidth="1"/>
    <col min="2566" max="2566" width="24.28515625" style="156" customWidth="1"/>
    <col min="2567" max="2815" width="9.140625" style="156"/>
    <col min="2816" max="2816" width="16.85546875" style="156" customWidth="1"/>
    <col min="2817" max="2817" width="26.140625" style="156" customWidth="1"/>
    <col min="2818" max="2818" width="17.140625" style="156" customWidth="1"/>
    <col min="2819" max="2819" width="14.85546875" style="156" customWidth="1"/>
    <col min="2820" max="2820" width="20.5703125" style="156" customWidth="1"/>
    <col min="2821" max="2821" width="15.140625" style="156" customWidth="1"/>
    <col min="2822" max="2822" width="24.28515625" style="156" customWidth="1"/>
    <col min="2823" max="3071" width="9.140625" style="156"/>
    <col min="3072" max="3072" width="16.85546875" style="156" customWidth="1"/>
    <col min="3073" max="3073" width="26.140625" style="156" customWidth="1"/>
    <col min="3074" max="3074" width="17.140625" style="156" customWidth="1"/>
    <col min="3075" max="3075" width="14.85546875" style="156" customWidth="1"/>
    <col min="3076" max="3076" width="20.5703125" style="156" customWidth="1"/>
    <col min="3077" max="3077" width="15.140625" style="156" customWidth="1"/>
    <col min="3078" max="3078" width="24.28515625" style="156" customWidth="1"/>
    <col min="3079" max="3327" width="9.140625" style="156"/>
    <col min="3328" max="3328" width="16.85546875" style="156" customWidth="1"/>
    <col min="3329" max="3329" width="26.140625" style="156" customWidth="1"/>
    <col min="3330" max="3330" width="17.140625" style="156" customWidth="1"/>
    <col min="3331" max="3331" width="14.85546875" style="156" customWidth="1"/>
    <col min="3332" max="3332" width="20.5703125" style="156" customWidth="1"/>
    <col min="3333" max="3333" width="15.140625" style="156" customWidth="1"/>
    <col min="3334" max="3334" width="24.28515625" style="156" customWidth="1"/>
    <col min="3335" max="3583" width="9.140625" style="156"/>
    <col min="3584" max="3584" width="16.85546875" style="156" customWidth="1"/>
    <col min="3585" max="3585" width="26.140625" style="156" customWidth="1"/>
    <col min="3586" max="3586" width="17.140625" style="156" customWidth="1"/>
    <col min="3587" max="3587" width="14.85546875" style="156" customWidth="1"/>
    <col min="3588" max="3588" width="20.5703125" style="156" customWidth="1"/>
    <col min="3589" max="3589" width="15.140625" style="156" customWidth="1"/>
    <col min="3590" max="3590" width="24.28515625" style="156" customWidth="1"/>
    <col min="3591" max="3839" width="9.140625" style="156"/>
    <col min="3840" max="3840" width="16.85546875" style="156" customWidth="1"/>
    <col min="3841" max="3841" width="26.140625" style="156" customWidth="1"/>
    <col min="3842" max="3842" width="17.140625" style="156" customWidth="1"/>
    <col min="3843" max="3843" width="14.85546875" style="156" customWidth="1"/>
    <col min="3844" max="3844" width="20.5703125" style="156" customWidth="1"/>
    <col min="3845" max="3845" width="15.140625" style="156" customWidth="1"/>
    <col min="3846" max="3846" width="24.28515625" style="156" customWidth="1"/>
    <col min="3847" max="4095" width="9.140625" style="156"/>
    <col min="4096" max="4096" width="16.85546875" style="156" customWidth="1"/>
    <col min="4097" max="4097" width="26.140625" style="156" customWidth="1"/>
    <col min="4098" max="4098" width="17.140625" style="156" customWidth="1"/>
    <col min="4099" max="4099" width="14.85546875" style="156" customWidth="1"/>
    <col min="4100" max="4100" width="20.5703125" style="156" customWidth="1"/>
    <col min="4101" max="4101" width="15.140625" style="156" customWidth="1"/>
    <col min="4102" max="4102" width="24.28515625" style="156" customWidth="1"/>
    <col min="4103" max="4351" width="9.140625" style="156"/>
    <col min="4352" max="4352" width="16.85546875" style="156" customWidth="1"/>
    <col min="4353" max="4353" width="26.140625" style="156" customWidth="1"/>
    <col min="4354" max="4354" width="17.140625" style="156" customWidth="1"/>
    <col min="4355" max="4355" width="14.85546875" style="156" customWidth="1"/>
    <col min="4356" max="4356" width="20.5703125" style="156" customWidth="1"/>
    <col min="4357" max="4357" width="15.140625" style="156" customWidth="1"/>
    <col min="4358" max="4358" width="24.28515625" style="156" customWidth="1"/>
    <col min="4359" max="4607" width="9.140625" style="156"/>
    <col min="4608" max="4608" width="16.85546875" style="156" customWidth="1"/>
    <col min="4609" max="4609" width="26.140625" style="156" customWidth="1"/>
    <col min="4610" max="4610" width="17.140625" style="156" customWidth="1"/>
    <col min="4611" max="4611" width="14.85546875" style="156" customWidth="1"/>
    <col min="4612" max="4612" width="20.5703125" style="156" customWidth="1"/>
    <col min="4613" max="4613" width="15.140625" style="156" customWidth="1"/>
    <col min="4614" max="4614" width="24.28515625" style="156" customWidth="1"/>
    <col min="4615" max="4863" width="9.140625" style="156"/>
    <col min="4864" max="4864" width="16.85546875" style="156" customWidth="1"/>
    <col min="4865" max="4865" width="26.140625" style="156" customWidth="1"/>
    <col min="4866" max="4866" width="17.140625" style="156" customWidth="1"/>
    <col min="4867" max="4867" width="14.85546875" style="156" customWidth="1"/>
    <col min="4868" max="4868" width="20.5703125" style="156" customWidth="1"/>
    <col min="4869" max="4869" width="15.140625" style="156" customWidth="1"/>
    <col min="4870" max="4870" width="24.28515625" style="156" customWidth="1"/>
    <col min="4871" max="5119" width="9.140625" style="156"/>
    <col min="5120" max="5120" width="16.85546875" style="156" customWidth="1"/>
    <col min="5121" max="5121" width="26.140625" style="156" customWidth="1"/>
    <col min="5122" max="5122" width="17.140625" style="156" customWidth="1"/>
    <col min="5123" max="5123" width="14.85546875" style="156" customWidth="1"/>
    <col min="5124" max="5124" width="20.5703125" style="156" customWidth="1"/>
    <col min="5125" max="5125" width="15.140625" style="156" customWidth="1"/>
    <col min="5126" max="5126" width="24.28515625" style="156" customWidth="1"/>
    <col min="5127" max="5375" width="9.140625" style="156"/>
    <col min="5376" max="5376" width="16.85546875" style="156" customWidth="1"/>
    <col min="5377" max="5377" width="26.140625" style="156" customWidth="1"/>
    <col min="5378" max="5378" width="17.140625" style="156" customWidth="1"/>
    <col min="5379" max="5379" width="14.85546875" style="156" customWidth="1"/>
    <col min="5380" max="5380" width="20.5703125" style="156" customWidth="1"/>
    <col min="5381" max="5381" width="15.140625" style="156" customWidth="1"/>
    <col min="5382" max="5382" width="24.28515625" style="156" customWidth="1"/>
    <col min="5383" max="5631" width="9.140625" style="156"/>
    <col min="5632" max="5632" width="16.85546875" style="156" customWidth="1"/>
    <col min="5633" max="5633" width="26.140625" style="156" customWidth="1"/>
    <col min="5634" max="5634" width="17.140625" style="156" customWidth="1"/>
    <col min="5635" max="5635" width="14.85546875" style="156" customWidth="1"/>
    <col min="5636" max="5636" width="20.5703125" style="156" customWidth="1"/>
    <col min="5637" max="5637" width="15.140625" style="156" customWidth="1"/>
    <col min="5638" max="5638" width="24.28515625" style="156" customWidth="1"/>
    <col min="5639" max="5887" width="9.140625" style="156"/>
    <col min="5888" max="5888" width="16.85546875" style="156" customWidth="1"/>
    <col min="5889" max="5889" width="26.140625" style="156" customWidth="1"/>
    <col min="5890" max="5890" width="17.140625" style="156" customWidth="1"/>
    <col min="5891" max="5891" width="14.85546875" style="156" customWidth="1"/>
    <col min="5892" max="5892" width="20.5703125" style="156" customWidth="1"/>
    <col min="5893" max="5893" width="15.140625" style="156" customWidth="1"/>
    <col min="5894" max="5894" width="24.28515625" style="156" customWidth="1"/>
    <col min="5895" max="6143" width="9.140625" style="156"/>
    <col min="6144" max="6144" width="16.85546875" style="156" customWidth="1"/>
    <col min="6145" max="6145" width="26.140625" style="156" customWidth="1"/>
    <col min="6146" max="6146" width="17.140625" style="156" customWidth="1"/>
    <col min="6147" max="6147" width="14.85546875" style="156" customWidth="1"/>
    <col min="6148" max="6148" width="20.5703125" style="156" customWidth="1"/>
    <col min="6149" max="6149" width="15.140625" style="156" customWidth="1"/>
    <col min="6150" max="6150" width="24.28515625" style="156" customWidth="1"/>
    <col min="6151" max="6399" width="9.140625" style="156"/>
    <col min="6400" max="6400" width="16.85546875" style="156" customWidth="1"/>
    <col min="6401" max="6401" width="26.140625" style="156" customWidth="1"/>
    <col min="6402" max="6402" width="17.140625" style="156" customWidth="1"/>
    <col min="6403" max="6403" width="14.85546875" style="156" customWidth="1"/>
    <col min="6404" max="6404" width="20.5703125" style="156" customWidth="1"/>
    <col min="6405" max="6405" width="15.140625" style="156" customWidth="1"/>
    <col min="6406" max="6406" width="24.28515625" style="156" customWidth="1"/>
    <col min="6407" max="6655" width="9.140625" style="156"/>
    <col min="6656" max="6656" width="16.85546875" style="156" customWidth="1"/>
    <col min="6657" max="6657" width="26.140625" style="156" customWidth="1"/>
    <col min="6658" max="6658" width="17.140625" style="156" customWidth="1"/>
    <col min="6659" max="6659" width="14.85546875" style="156" customWidth="1"/>
    <col min="6660" max="6660" width="20.5703125" style="156" customWidth="1"/>
    <col min="6661" max="6661" width="15.140625" style="156" customWidth="1"/>
    <col min="6662" max="6662" width="24.28515625" style="156" customWidth="1"/>
    <col min="6663" max="6911" width="9.140625" style="156"/>
    <col min="6912" max="6912" width="16.85546875" style="156" customWidth="1"/>
    <col min="6913" max="6913" width="26.140625" style="156" customWidth="1"/>
    <col min="6914" max="6914" width="17.140625" style="156" customWidth="1"/>
    <col min="6915" max="6915" width="14.85546875" style="156" customWidth="1"/>
    <col min="6916" max="6916" width="20.5703125" style="156" customWidth="1"/>
    <col min="6917" max="6917" width="15.140625" style="156" customWidth="1"/>
    <col min="6918" max="6918" width="24.28515625" style="156" customWidth="1"/>
    <col min="6919" max="7167" width="9.140625" style="156"/>
    <col min="7168" max="7168" width="16.85546875" style="156" customWidth="1"/>
    <col min="7169" max="7169" width="26.140625" style="156" customWidth="1"/>
    <col min="7170" max="7170" width="17.140625" style="156" customWidth="1"/>
    <col min="7171" max="7171" width="14.85546875" style="156" customWidth="1"/>
    <col min="7172" max="7172" width="20.5703125" style="156" customWidth="1"/>
    <col min="7173" max="7173" width="15.140625" style="156" customWidth="1"/>
    <col min="7174" max="7174" width="24.28515625" style="156" customWidth="1"/>
    <col min="7175" max="7423" width="9.140625" style="156"/>
    <col min="7424" max="7424" width="16.85546875" style="156" customWidth="1"/>
    <col min="7425" max="7425" width="26.140625" style="156" customWidth="1"/>
    <col min="7426" max="7426" width="17.140625" style="156" customWidth="1"/>
    <col min="7427" max="7427" width="14.85546875" style="156" customWidth="1"/>
    <col min="7428" max="7428" width="20.5703125" style="156" customWidth="1"/>
    <col min="7429" max="7429" width="15.140625" style="156" customWidth="1"/>
    <col min="7430" max="7430" width="24.28515625" style="156" customWidth="1"/>
    <col min="7431" max="7679" width="9.140625" style="156"/>
    <col min="7680" max="7680" width="16.85546875" style="156" customWidth="1"/>
    <col min="7681" max="7681" width="26.140625" style="156" customWidth="1"/>
    <col min="7682" max="7682" width="17.140625" style="156" customWidth="1"/>
    <col min="7683" max="7683" width="14.85546875" style="156" customWidth="1"/>
    <col min="7684" max="7684" width="20.5703125" style="156" customWidth="1"/>
    <col min="7685" max="7685" width="15.140625" style="156" customWidth="1"/>
    <col min="7686" max="7686" width="24.28515625" style="156" customWidth="1"/>
    <col min="7687" max="7935" width="9.140625" style="156"/>
    <col min="7936" max="7936" width="16.85546875" style="156" customWidth="1"/>
    <col min="7937" max="7937" width="26.140625" style="156" customWidth="1"/>
    <col min="7938" max="7938" width="17.140625" style="156" customWidth="1"/>
    <col min="7939" max="7939" width="14.85546875" style="156" customWidth="1"/>
    <col min="7940" max="7940" width="20.5703125" style="156" customWidth="1"/>
    <col min="7941" max="7941" width="15.140625" style="156" customWidth="1"/>
    <col min="7942" max="7942" width="24.28515625" style="156" customWidth="1"/>
    <col min="7943" max="8191" width="9.140625" style="156"/>
    <col min="8192" max="8192" width="16.85546875" style="156" customWidth="1"/>
    <col min="8193" max="8193" width="26.140625" style="156" customWidth="1"/>
    <col min="8194" max="8194" width="17.140625" style="156" customWidth="1"/>
    <col min="8195" max="8195" width="14.85546875" style="156" customWidth="1"/>
    <col min="8196" max="8196" width="20.5703125" style="156" customWidth="1"/>
    <col min="8197" max="8197" width="15.140625" style="156" customWidth="1"/>
    <col min="8198" max="8198" width="24.28515625" style="156" customWidth="1"/>
    <col min="8199" max="8447" width="9.140625" style="156"/>
    <col min="8448" max="8448" width="16.85546875" style="156" customWidth="1"/>
    <col min="8449" max="8449" width="26.140625" style="156" customWidth="1"/>
    <col min="8450" max="8450" width="17.140625" style="156" customWidth="1"/>
    <col min="8451" max="8451" width="14.85546875" style="156" customWidth="1"/>
    <col min="8452" max="8452" width="20.5703125" style="156" customWidth="1"/>
    <col min="8453" max="8453" width="15.140625" style="156" customWidth="1"/>
    <col min="8454" max="8454" width="24.28515625" style="156" customWidth="1"/>
    <col min="8455" max="8703" width="9.140625" style="156"/>
    <col min="8704" max="8704" width="16.85546875" style="156" customWidth="1"/>
    <col min="8705" max="8705" width="26.140625" style="156" customWidth="1"/>
    <col min="8706" max="8706" width="17.140625" style="156" customWidth="1"/>
    <col min="8707" max="8707" width="14.85546875" style="156" customWidth="1"/>
    <col min="8708" max="8708" width="20.5703125" style="156" customWidth="1"/>
    <col min="8709" max="8709" width="15.140625" style="156" customWidth="1"/>
    <col min="8710" max="8710" width="24.28515625" style="156" customWidth="1"/>
    <col min="8711" max="8959" width="9.140625" style="156"/>
    <col min="8960" max="8960" width="16.85546875" style="156" customWidth="1"/>
    <col min="8961" max="8961" width="26.140625" style="156" customWidth="1"/>
    <col min="8962" max="8962" width="17.140625" style="156" customWidth="1"/>
    <col min="8963" max="8963" width="14.85546875" style="156" customWidth="1"/>
    <col min="8964" max="8964" width="20.5703125" style="156" customWidth="1"/>
    <col min="8965" max="8965" width="15.140625" style="156" customWidth="1"/>
    <col min="8966" max="8966" width="24.28515625" style="156" customWidth="1"/>
    <col min="8967" max="9215" width="9.140625" style="156"/>
    <col min="9216" max="9216" width="16.85546875" style="156" customWidth="1"/>
    <col min="9217" max="9217" width="26.140625" style="156" customWidth="1"/>
    <col min="9218" max="9218" width="17.140625" style="156" customWidth="1"/>
    <col min="9219" max="9219" width="14.85546875" style="156" customWidth="1"/>
    <col min="9220" max="9220" width="20.5703125" style="156" customWidth="1"/>
    <col min="9221" max="9221" width="15.140625" style="156" customWidth="1"/>
    <col min="9222" max="9222" width="24.28515625" style="156" customWidth="1"/>
    <col min="9223" max="9471" width="9.140625" style="156"/>
    <col min="9472" max="9472" width="16.85546875" style="156" customWidth="1"/>
    <col min="9473" max="9473" width="26.140625" style="156" customWidth="1"/>
    <col min="9474" max="9474" width="17.140625" style="156" customWidth="1"/>
    <col min="9475" max="9475" width="14.85546875" style="156" customWidth="1"/>
    <col min="9476" max="9476" width="20.5703125" style="156" customWidth="1"/>
    <col min="9477" max="9477" width="15.140625" style="156" customWidth="1"/>
    <col min="9478" max="9478" width="24.28515625" style="156" customWidth="1"/>
    <col min="9479" max="9727" width="9.140625" style="156"/>
    <col min="9728" max="9728" width="16.85546875" style="156" customWidth="1"/>
    <col min="9729" max="9729" width="26.140625" style="156" customWidth="1"/>
    <col min="9730" max="9730" width="17.140625" style="156" customWidth="1"/>
    <col min="9731" max="9731" width="14.85546875" style="156" customWidth="1"/>
    <col min="9732" max="9732" width="20.5703125" style="156" customWidth="1"/>
    <col min="9733" max="9733" width="15.140625" style="156" customWidth="1"/>
    <col min="9734" max="9734" width="24.28515625" style="156" customWidth="1"/>
    <col min="9735" max="9983" width="9.140625" style="156"/>
    <col min="9984" max="9984" width="16.85546875" style="156" customWidth="1"/>
    <col min="9985" max="9985" width="26.140625" style="156" customWidth="1"/>
    <col min="9986" max="9986" width="17.140625" style="156" customWidth="1"/>
    <col min="9987" max="9987" width="14.85546875" style="156" customWidth="1"/>
    <col min="9988" max="9988" width="20.5703125" style="156" customWidth="1"/>
    <col min="9989" max="9989" width="15.140625" style="156" customWidth="1"/>
    <col min="9990" max="9990" width="24.28515625" style="156" customWidth="1"/>
    <col min="9991" max="10239" width="9.140625" style="156"/>
    <col min="10240" max="10240" width="16.85546875" style="156" customWidth="1"/>
    <col min="10241" max="10241" width="26.140625" style="156" customWidth="1"/>
    <col min="10242" max="10242" width="17.140625" style="156" customWidth="1"/>
    <col min="10243" max="10243" width="14.85546875" style="156" customWidth="1"/>
    <col min="10244" max="10244" width="20.5703125" style="156" customWidth="1"/>
    <col min="10245" max="10245" width="15.140625" style="156" customWidth="1"/>
    <col min="10246" max="10246" width="24.28515625" style="156" customWidth="1"/>
    <col min="10247" max="10495" width="9.140625" style="156"/>
    <col min="10496" max="10496" width="16.85546875" style="156" customWidth="1"/>
    <col min="10497" max="10497" width="26.140625" style="156" customWidth="1"/>
    <col min="10498" max="10498" width="17.140625" style="156" customWidth="1"/>
    <col min="10499" max="10499" width="14.85546875" style="156" customWidth="1"/>
    <col min="10500" max="10500" width="20.5703125" style="156" customWidth="1"/>
    <col min="10501" max="10501" width="15.140625" style="156" customWidth="1"/>
    <col min="10502" max="10502" width="24.28515625" style="156" customWidth="1"/>
    <col min="10503" max="10751" width="9.140625" style="156"/>
    <col min="10752" max="10752" width="16.85546875" style="156" customWidth="1"/>
    <col min="10753" max="10753" width="26.140625" style="156" customWidth="1"/>
    <col min="10754" max="10754" width="17.140625" style="156" customWidth="1"/>
    <col min="10755" max="10755" width="14.85546875" style="156" customWidth="1"/>
    <col min="10756" max="10756" width="20.5703125" style="156" customWidth="1"/>
    <col min="10757" max="10757" width="15.140625" style="156" customWidth="1"/>
    <col min="10758" max="10758" width="24.28515625" style="156" customWidth="1"/>
    <col min="10759" max="11007" width="9.140625" style="156"/>
    <col min="11008" max="11008" width="16.85546875" style="156" customWidth="1"/>
    <col min="11009" max="11009" width="26.140625" style="156" customWidth="1"/>
    <col min="11010" max="11010" width="17.140625" style="156" customWidth="1"/>
    <col min="11011" max="11011" width="14.85546875" style="156" customWidth="1"/>
    <col min="11012" max="11012" width="20.5703125" style="156" customWidth="1"/>
    <col min="11013" max="11013" width="15.140625" style="156" customWidth="1"/>
    <col min="11014" max="11014" width="24.28515625" style="156" customWidth="1"/>
    <col min="11015" max="11263" width="9.140625" style="156"/>
    <col min="11264" max="11264" width="16.85546875" style="156" customWidth="1"/>
    <col min="11265" max="11265" width="26.140625" style="156" customWidth="1"/>
    <col min="11266" max="11266" width="17.140625" style="156" customWidth="1"/>
    <col min="11267" max="11267" width="14.85546875" style="156" customWidth="1"/>
    <col min="11268" max="11268" width="20.5703125" style="156" customWidth="1"/>
    <col min="11269" max="11269" width="15.140625" style="156" customWidth="1"/>
    <col min="11270" max="11270" width="24.28515625" style="156" customWidth="1"/>
    <col min="11271" max="11519" width="9.140625" style="156"/>
    <col min="11520" max="11520" width="16.85546875" style="156" customWidth="1"/>
    <col min="11521" max="11521" width="26.140625" style="156" customWidth="1"/>
    <col min="11522" max="11522" width="17.140625" style="156" customWidth="1"/>
    <col min="11523" max="11523" width="14.85546875" style="156" customWidth="1"/>
    <col min="11524" max="11524" width="20.5703125" style="156" customWidth="1"/>
    <col min="11525" max="11525" width="15.140625" style="156" customWidth="1"/>
    <col min="11526" max="11526" width="24.28515625" style="156" customWidth="1"/>
    <col min="11527" max="11775" width="9.140625" style="156"/>
    <col min="11776" max="11776" width="16.85546875" style="156" customWidth="1"/>
    <col min="11777" max="11777" width="26.140625" style="156" customWidth="1"/>
    <col min="11778" max="11778" width="17.140625" style="156" customWidth="1"/>
    <col min="11779" max="11779" width="14.85546875" style="156" customWidth="1"/>
    <col min="11780" max="11780" width="20.5703125" style="156" customWidth="1"/>
    <col min="11781" max="11781" width="15.140625" style="156" customWidth="1"/>
    <col min="11782" max="11782" width="24.28515625" style="156" customWidth="1"/>
    <col min="11783" max="12031" width="9.140625" style="156"/>
    <col min="12032" max="12032" width="16.85546875" style="156" customWidth="1"/>
    <col min="12033" max="12033" width="26.140625" style="156" customWidth="1"/>
    <col min="12034" max="12034" width="17.140625" style="156" customWidth="1"/>
    <col min="12035" max="12035" width="14.85546875" style="156" customWidth="1"/>
    <col min="12036" max="12036" width="20.5703125" style="156" customWidth="1"/>
    <col min="12037" max="12037" width="15.140625" style="156" customWidth="1"/>
    <col min="12038" max="12038" width="24.28515625" style="156" customWidth="1"/>
    <col min="12039" max="12287" width="9.140625" style="156"/>
    <col min="12288" max="12288" width="16.85546875" style="156" customWidth="1"/>
    <col min="12289" max="12289" width="26.140625" style="156" customWidth="1"/>
    <col min="12290" max="12290" width="17.140625" style="156" customWidth="1"/>
    <col min="12291" max="12291" width="14.85546875" style="156" customWidth="1"/>
    <col min="12292" max="12292" width="20.5703125" style="156" customWidth="1"/>
    <col min="12293" max="12293" width="15.140625" style="156" customWidth="1"/>
    <col min="12294" max="12294" width="24.28515625" style="156" customWidth="1"/>
    <col min="12295" max="12543" width="9.140625" style="156"/>
    <col min="12544" max="12544" width="16.85546875" style="156" customWidth="1"/>
    <col min="12545" max="12545" width="26.140625" style="156" customWidth="1"/>
    <col min="12546" max="12546" width="17.140625" style="156" customWidth="1"/>
    <col min="12547" max="12547" width="14.85546875" style="156" customWidth="1"/>
    <col min="12548" max="12548" width="20.5703125" style="156" customWidth="1"/>
    <col min="12549" max="12549" width="15.140625" style="156" customWidth="1"/>
    <col min="12550" max="12550" width="24.28515625" style="156" customWidth="1"/>
    <col min="12551" max="12799" width="9.140625" style="156"/>
    <col min="12800" max="12800" width="16.85546875" style="156" customWidth="1"/>
    <col min="12801" max="12801" width="26.140625" style="156" customWidth="1"/>
    <col min="12802" max="12802" width="17.140625" style="156" customWidth="1"/>
    <col min="12803" max="12803" width="14.85546875" style="156" customWidth="1"/>
    <col min="12804" max="12804" width="20.5703125" style="156" customWidth="1"/>
    <col min="12805" max="12805" width="15.140625" style="156" customWidth="1"/>
    <col min="12806" max="12806" width="24.28515625" style="156" customWidth="1"/>
    <col min="12807" max="13055" width="9.140625" style="156"/>
    <col min="13056" max="13056" width="16.85546875" style="156" customWidth="1"/>
    <col min="13057" max="13057" width="26.140625" style="156" customWidth="1"/>
    <col min="13058" max="13058" width="17.140625" style="156" customWidth="1"/>
    <col min="13059" max="13059" width="14.85546875" style="156" customWidth="1"/>
    <col min="13060" max="13060" width="20.5703125" style="156" customWidth="1"/>
    <col min="13061" max="13061" width="15.140625" style="156" customWidth="1"/>
    <col min="13062" max="13062" width="24.28515625" style="156" customWidth="1"/>
    <col min="13063" max="13311" width="9.140625" style="156"/>
    <col min="13312" max="13312" width="16.85546875" style="156" customWidth="1"/>
    <col min="13313" max="13313" width="26.140625" style="156" customWidth="1"/>
    <col min="13314" max="13314" width="17.140625" style="156" customWidth="1"/>
    <col min="13315" max="13315" width="14.85546875" style="156" customWidth="1"/>
    <col min="13316" max="13316" width="20.5703125" style="156" customWidth="1"/>
    <col min="13317" max="13317" width="15.140625" style="156" customWidth="1"/>
    <col min="13318" max="13318" width="24.28515625" style="156" customWidth="1"/>
    <col min="13319" max="13567" width="9.140625" style="156"/>
    <col min="13568" max="13568" width="16.85546875" style="156" customWidth="1"/>
    <col min="13569" max="13569" width="26.140625" style="156" customWidth="1"/>
    <col min="13570" max="13570" width="17.140625" style="156" customWidth="1"/>
    <col min="13571" max="13571" width="14.85546875" style="156" customWidth="1"/>
    <col min="13572" max="13572" width="20.5703125" style="156" customWidth="1"/>
    <col min="13573" max="13573" width="15.140625" style="156" customWidth="1"/>
    <col min="13574" max="13574" width="24.28515625" style="156" customWidth="1"/>
    <col min="13575" max="13823" width="9.140625" style="156"/>
    <col min="13824" max="13824" width="16.85546875" style="156" customWidth="1"/>
    <col min="13825" max="13825" width="26.140625" style="156" customWidth="1"/>
    <col min="13826" max="13826" width="17.140625" style="156" customWidth="1"/>
    <col min="13827" max="13827" width="14.85546875" style="156" customWidth="1"/>
    <col min="13828" max="13828" width="20.5703125" style="156" customWidth="1"/>
    <col min="13829" max="13829" width="15.140625" style="156" customWidth="1"/>
    <col min="13830" max="13830" width="24.28515625" style="156" customWidth="1"/>
    <col min="13831" max="14079" width="9.140625" style="156"/>
    <col min="14080" max="14080" width="16.85546875" style="156" customWidth="1"/>
    <col min="14081" max="14081" width="26.140625" style="156" customWidth="1"/>
    <col min="14082" max="14082" width="17.140625" style="156" customWidth="1"/>
    <col min="14083" max="14083" width="14.85546875" style="156" customWidth="1"/>
    <col min="14084" max="14084" width="20.5703125" style="156" customWidth="1"/>
    <col min="14085" max="14085" width="15.140625" style="156" customWidth="1"/>
    <col min="14086" max="14086" width="24.28515625" style="156" customWidth="1"/>
    <col min="14087" max="14335" width="9.140625" style="156"/>
    <col min="14336" max="14336" width="16.85546875" style="156" customWidth="1"/>
    <col min="14337" max="14337" width="26.140625" style="156" customWidth="1"/>
    <col min="14338" max="14338" width="17.140625" style="156" customWidth="1"/>
    <col min="14339" max="14339" width="14.85546875" style="156" customWidth="1"/>
    <col min="14340" max="14340" width="20.5703125" style="156" customWidth="1"/>
    <col min="14341" max="14341" width="15.140625" style="156" customWidth="1"/>
    <col min="14342" max="14342" width="24.28515625" style="156" customWidth="1"/>
    <col min="14343" max="14591" width="9.140625" style="156"/>
    <col min="14592" max="14592" width="16.85546875" style="156" customWidth="1"/>
    <col min="14593" max="14593" width="26.140625" style="156" customWidth="1"/>
    <col min="14594" max="14594" width="17.140625" style="156" customWidth="1"/>
    <col min="14595" max="14595" width="14.85546875" style="156" customWidth="1"/>
    <col min="14596" max="14596" width="20.5703125" style="156" customWidth="1"/>
    <col min="14597" max="14597" width="15.140625" style="156" customWidth="1"/>
    <col min="14598" max="14598" width="24.28515625" style="156" customWidth="1"/>
    <col min="14599" max="14847" width="9.140625" style="156"/>
    <col min="14848" max="14848" width="16.85546875" style="156" customWidth="1"/>
    <col min="14849" max="14849" width="26.140625" style="156" customWidth="1"/>
    <col min="14850" max="14850" width="17.140625" style="156" customWidth="1"/>
    <col min="14851" max="14851" width="14.85546875" style="156" customWidth="1"/>
    <col min="14852" max="14852" width="20.5703125" style="156" customWidth="1"/>
    <col min="14853" max="14853" width="15.140625" style="156" customWidth="1"/>
    <col min="14854" max="14854" width="24.28515625" style="156" customWidth="1"/>
    <col min="14855" max="15103" width="9.140625" style="156"/>
    <col min="15104" max="15104" width="16.85546875" style="156" customWidth="1"/>
    <col min="15105" max="15105" width="26.140625" style="156" customWidth="1"/>
    <col min="15106" max="15106" width="17.140625" style="156" customWidth="1"/>
    <col min="15107" max="15107" width="14.85546875" style="156" customWidth="1"/>
    <col min="15108" max="15108" width="20.5703125" style="156" customWidth="1"/>
    <col min="15109" max="15109" width="15.140625" style="156" customWidth="1"/>
    <col min="15110" max="15110" width="24.28515625" style="156" customWidth="1"/>
    <col min="15111" max="15359" width="9.140625" style="156"/>
    <col min="15360" max="15360" width="16.85546875" style="156" customWidth="1"/>
    <col min="15361" max="15361" width="26.140625" style="156" customWidth="1"/>
    <col min="15362" max="15362" width="17.140625" style="156" customWidth="1"/>
    <col min="15363" max="15363" width="14.85546875" style="156" customWidth="1"/>
    <col min="15364" max="15364" width="20.5703125" style="156" customWidth="1"/>
    <col min="15365" max="15365" width="15.140625" style="156" customWidth="1"/>
    <col min="15366" max="15366" width="24.28515625" style="156" customWidth="1"/>
    <col min="15367" max="15615" width="9.140625" style="156"/>
    <col min="15616" max="15616" width="16.85546875" style="156" customWidth="1"/>
    <col min="15617" max="15617" width="26.140625" style="156" customWidth="1"/>
    <col min="15618" max="15618" width="17.140625" style="156" customWidth="1"/>
    <col min="15619" max="15619" width="14.85546875" style="156" customWidth="1"/>
    <col min="15620" max="15620" width="20.5703125" style="156" customWidth="1"/>
    <col min="15621" max="15621" width="15.140625" style="156" customWidth="1"/>
    <col min="15622" max="15622" width="24.28515625" style="156" customWidth="1"/>
    <col min="15623" max="15871" width="9.140625" style="156"/>
    <col min="15872" max="15872" width="16.85546875" style="156" customWidth="1"/>
    <col min="15873" max="15873" width="26.140625" style="156" customWidth="1"/>
    <col min="15874" max="15874" width="17.140625" style="156" customWidth="1"/>
    <col min="15875" max="15875" width="14.85546875" style="156" customWidth="1"/>
    <col min="15876" max="15876" width="20.5703125" style="156" customWidth="1"/>
    <col min="15877" max="15877" width="15.140625" style="156" customWidth="1"/>
    <col min="15878" max="15878" width="24.28515625" style="156" customWidth="1"/>
    <col min="15879" max="16127" width="9.140625" style="156"/>
    <col min="16128" max="16128" width="16.85546875" style="156" customWidth="1"/>
    <col min="16129" max="16129" width="26.140625" style="156" customWidth="1"/>
    <col min="16130" max="16130" width="17.140625" style="156" customWidth="1"/>
    <col min="16131" max="16131" width="14.85546875" style="156" customWidth="1"/>
    <col min="16132" max="16132" width="20.5703125" style="156" customWidth="1"/>
    <col min="16133" max="16133" width="15.140625" style="156" customWidth="1"/>
    <col min="16134" max="16134" width="24.28515625" style="156" customWidth="1"/>
    <col min="16135" max="16384" width="9.140625" style="156"/>
  </cols>
  <sheetData>
    <row r="1" spans="2:7" ht="15.75">
      <c r="B1" s="1746"/>
      <c r="C1" s="1746"/>
      <c r="D1" s="1746"/>
      <c r="E1" s="1746"/>
      <c r="F1" s="1746"/>
      <c r="G1" s="1746"/>
    </row>
    <row r="2" spans="2:7" ht="15.75">
      <c r="B2" s="2182" t="s">
        <v>1158</v>
      </c>
      <c r="C2" s="2182"/>
      <c r="D2" s="2182"/>
      <c r="E2" s="2182"/>
      <c r="F2" s="2182"/>
      <c r="G2" s="2182"/>
    </row>
    <row r="3" spans="2:7" ht="15.75">
      <c r="B3" s="1470" t="s">
        <v>1110</v>
      </c>
      <c r="C3" s="1470"/>
      <c r="D3" s="1470"/>
      <c r="E3" s="1470"/>
      <c r="F3" s="1470"/>
      <c r="G3" s="389" t="s">
        <v>1111</v>
      </c>
    </row>
    <row r="4" spans="2:7" s="654" customFormat="1" ht="15.75">
      <c r="B4" s="391" t="s">
        <v>1067</v>
      </c>
      <c r="C4" s="391" t="s">
        <v>1112</v>
      </c>
      <c r="D4" s="2427" t="s">
        <v>1108</v>
      </c>
      <c r="E4" s="2428"/>
      <c r="F4" s="2427" t="s">
        <v>2707</v>
      </c>
      <c r="G4" s="2428"/>
    </row>
    <row r="5" spans="2:7" ht="63">
      <c r="B5" s="409"/>
      <c r="C5" s="409"/>
      <c r="D5" s="394" t="s">
        <v>444</v>
      </c>
      <c r="E5" s="622" t="s">
        <v>445</v>
      </c>
      <c r="F5" s="1367" t="s">
        <v>444</v>
      </c>
      <c r="G5" s="415" t="s">
        <v>445</v>
      </c>
    </row>
    <row r="6" spans="2:7" ht="15.75">
      <c r="B6" s="408">
        <v>1</v>
      </c>
      <c r="C6" s="409" t="s">
        <v>1113</v>
      </c>
      <c r="D6" s="408">
        <v>0</v>
      </c>
      <c r="E6" s="408">
        <v>0</v>
      </c>
      <c r="F6" s="408">
        <v>0</v>
      </c>
      <c r="G6" s="1708">
        <v>0.01</v>
      </c>
    </row>
    <row r="7" spans="2:7" ht="15.75">
      <c r="B7" s="408">
        <v>2</v>
      </c>
      <c r="C7" s="389" t="s">
        <v>1695</v>
      </c>
      <c r="D7" s="408">
        <v>9</v>
      </c>
      <c r="E7" s="1467">
        <v>0.11</v>
      </c>
      <c r="F7" s="394">
        <v>2</v>
      </c>
      <c r="G7" s="1468">
        <v>0.05</v>
      </c>
    </row>
    <row r="8" spans="2:7" ht="15.75">
      <c r="B8" s="408">
        <v>3</v>
      </c>
      <c r="C8" s="409" t="s">
        <v>1114</v>
      </c>
      <c r="D8" s="408">
        <v>8743</v>
      </c>
      <c r="E8" s="1467">
        <v>99.8</v>
      </c>
      <c r="F8" s="408">
        <v>4344</v>
      </c>
      <c r="G8" s="1467">
        <v>98.9</v>
      </c>
    </row>
    <row r="9" spans="2:7" ht="15.75">
      <c r="B9" s="408">
        <v>4</v>
      </c>
      <c r="C9" s="409" t="s">
        <v>446</v>
      </c>
      <c r="D9" s="408">
        <v>8</v>
      </c>
      <c r="E9" s="408">
        <v>9.0999999999999998E-2</v>
      </c>
      <c r="F9" s="408">
        <v>45</v>
      </c>
      <c r="G9" s="408">
        <v>1.03</v>
      </c>
    </row>
    <row r="10" spans="2:7" ht="15.75">
      <c r="B10" s="408">
        <v>5</v>
      </c>
      <c r="C10" s="409" t="s">
        <v>1115</v>
      </c>
      <c r="D10" s="408">
        <v>0</v>
      </c>
      <c r="E10" s="408">
        <v>0</v>
      </c>
      <c r="F10" s="408">
        <v>0</v>
      </c>
      <c r="G10" s="408">
        <v>0</v>
      </c>
    </row>
    <row r="11" spans="2:7" ht="15.75">
      <c r="B11" s="408">
        <v>6</v>
      </c>
      <c r="C11" s="409" t="s">
        <v>1116</v>
      </c>
      <c r="D11" s="408">
        <v>0</v>
      </c>
      <c r="E11" s="408">
        <v>0</v>
      </c>
      <c r="F11" s="408">
        <v>0</v>
      </c>
      <c r="G11" s="408">
        <v>0</v>
      </c>
    </row>
    <row r="12" spans="2:7" ht="15.75">
      <c r="B12" s="408">
        <v>7</v>
      </c>
      <c r="C12" s="409" t="s">
        <v>1117</v>
      </c>
      <c r="D12" s="408">
        <v>0</v>
      </c>
      <c r="E12" s="408">
        <v>0</v>
      </c>
      <c r="F12" s="408">
        <v>0</v>
      </c>
      <c r="G12" s="408">
        <v>0</v>
      </c>
    </row>
    <row r="13" spans="2:7" ht="15.75">
      <c r="B13" s="1469"/>
      <c r="C13" s="1469"/>
      <c r="D13" s="1469"/>
      <c r="E13" s="1469"/>
      <c r="F13" s="1469"/>
      <c r="G13" s="1469"/>
    </row>
    <row r="14" spans="2:7" ht="15.75">
      <c r="B14" s="389"/>
      <c r="C14" s="389"/>
      <c r="D14" s="389"/>
      <c r="E14" s="389"/>
      <c r="F14" s="389"/>
      <c r="G14" s="389"/>
    </row>
    <row r="15" spans="2:7" ht="15.75">
      <c r="B15" s="472"/>
      <c r="C15" s="472"/>
      <c r="D15" s="472"/>
      <c r="E15" s="472"/>
      <c r="F15" s="472"/>
      <c r="G15" s="472"/>
    </row>
    <row r="16" spans="2:7" ht="18">
      <c r="B16" s="472"/>
      <c r="C16" s="472"/>
      <c r="D16" s="472"/>
      <c r="E16" s="1471" t="s">
        <v>1097</v>
      </c>
      <c r="F16" s="1471"/>
      <c r="G16" s="1471"/>
    </row>
    <row r="17" spans="2:7" ht="15.75">
      <c r="B17" s="472"/>
      <c r="C17" s="472"/>
      <c r="D17" s="472"/>
      <c r="E17" s="472"/>
      <c r="F17" s="472"/>
      <c r="G17" s="472"/>
    </row>
    <row r="18" spans="2:7" ht="15.75">
      <c r="B18" s="389"/>
      <c r="C18" s="389"/>
      <c r="D18" s="389"/>
      <c r="E18" s="389"/>
      <c r="F18" s="389"/>
      <c r="G18" s="389"/>
    </row>
    <row r="19" spans="2:7" ht="15.75">
      <c r="B19" s="389"/>
      <c r="C19" s="389"/>
      <c r="D19" s="389"/>
      <c r="E19" s="389"/>
      <c r="F19" s="389"/>
      <c r="G19" s="389"/>
    </row>
    <row r="20" spans="2:7" ht="15.75">
      <c r="B20" s="389"/>
      <c r="C20" s="389"/>
      <c r="D20" s="389"/>
      <c r="E20" s="389"/>
      <c r="F20" s="389"/>
      <c r="G20" s="389"/>
    </row>
  </sheetData>
  <mergeCells count="4">
    <mergeCell ref="B1:G1"/>
    <mergeCell ref="B2:G2"/>
    <mergeCell ref="D4:E4"/>
    <mergeCell ref="F4:G4"/>
  </mergeCells>
  <pageMargins left="0.70866141732283472" right="0.70866141732283472" top="0.74803149606299213" bottom="0.74803149606299213" header="0.31496062992125984" footer="0.31496062992125984"/>
  <pageSetup paperSize="9"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30"/>
  <sheetViews>
    <sheetView showGridLines="0" view="pageBreakPreview" zoomScale="85" zoomScaleNormal="55" zoomScaleSheetLayoutView="85" workbookViewId="0">
      <selection sqref="A1:P1"/>
    </sheetView>
  </sheetViews>
  <sheetFormatPr defaultColWidth="8.85546875" defaultRowHeight="15"/>
  <cols>
    <col min="1" max="1" width="3" style="56" customWidth="1"/>
    <col min="2" max="2" width="24.5703125" style="56" customWidth="1"/>
    <col min="3" max="3" width="20" style="56" bestFit="1" customWidth="1"/>
    <col min="4" max="4" width="11.28515625" style="56" customWidth="1"/>
    <col min="5" max="227" width="8.85546875" style="56"/>
    <col min="228" max="228" width="3" style="56" customWidth="1"/>
    <col min="229" max="229" width="24.5703125" style="56" customWidth="1"/>
    <col min="230" max="483" width="8.85546875" style="56"/>
    <col min="484" max="484" width="3" style="56" customWidth="1"/>
    <col min="485" max="485" width="24.5703125" style="56" customWidth="1"/>
    <col min="486" max="739" width="8.85546875" style="56"/>
    <col min="740" max="740" width="3" style="56" customWidth="1"/>
    <col min="741" max="741" width="24.5703125" style="56" customWidth="1"/>
    <col min="742" max="995" width="8.85546875" style="56"/>
    <col min="996" max="996" width="3" style="56" customWidth="1"/>
    <col min="997" max="997" width="24.5703125" style="56" customWidth="1"/>
    <col min="998" max="1251" width="8.85546875" style="56"/>
    <col min="1252" max="1252" width="3" style="56" customWidth="1"/>
    <col min="1253" max="1253" width="24.5703125" style="56" customWidth="1"/>
    <col min="1254" max="1507" width="8.85546875" style="56"/>
    <col min="1508" max="1508" width="3" style="56" customWidth="1"/>
    <col min="1509" max="1509" width="24.5703125" style="56" customWidth="1"/>
    <col min="1510" max="1763" width="8.85546875" style="56"/>
    <col min="1764" max="1764" width="3" style="56" customWidth="1"/>
    <col min="1765" max="1765" width="24.5703125" style="56" customWidth="1"/>
    <col min="1766" max="2019" width="8.85546875" style="56"/>
    <col min="2020" max="2020" width="3" style="56" customWidth="1"/>
    <col min="2021" max="2021" width="24.5703125" style="56" customWidth="1"/>
    <col min="2022" max="2275" width="8.85546875" style="56"/>
    <col min="2276" max="2276" width="3" style="56" customWidth="1"/>
    <col min="2277" max="2277" width="24.5703125" style="56" customWidth="1"/>
    <col min="2278" max="2531" width="8.85546875" style="56"/>
    <col min="2532" max="2532" width="3" style="56" customWidth="1"/>
    <col min="2533" max="2533" width="24.5703125" style="56" customWidth="1"/>
    <col min="2534" max="2787" width="8.85546875" style="56"/>
    <col min="2788" max="2788" width="3" style="56" customWidth="1"/>
    <col min="2789" max="2789" width="24.5703125" style="56" customWidth="1"/>
    <col min="2790" max="3043" width="8.85546875" style="56"/>
    <col min="3044" max="3044" width="3" style="56" customWidth="1"/>
    <col min="3045" max="3045" width="24.5703125" style="56" customWidth="1"/>
    <col min="3046" max="3299" width="8.85546875" style="56"/>
    <col min="3300" max="3300" width="3" style="56" customWidth="1"/>
    <col min="3301" max="3301" width="24.5703125" style="56" customWidth="1"/>
    <col min="3302" max="3555" width="8.85546875" style="56"/>
    <col min="3556" max="3556" width="3" style="56" customWidth="1"/>
    <col min="3557" max="3557" width="24.5703125" style="56" customWidth="1"/>
    <col min="3558" max="3811" width="8.85546875" style="56"/>
    <col min="3812" max="3812" width="3" style="56" customWidth="1"/>
    <col min="3813" max="3813" width="24.5703125" style="56" customWidth="1"/>
    <col min="3814" max="4067" width="8.85546875" style="56"/>
    <col min="4068" max="4068" width="3" style="56" customWidth="1"/>
    <col min="4069" max="4069" width="24.5703125" style="56" customWidth="1"/>
    <col min="4070" max="4323" width="8.85546875" style="56"/>
    <col min="4324" max="4324" width="3" style="56" customWidth="1"/>
    <col min="4325" max="4325" width="24.5703125" style="56" customWidth="1"/>
    <col min="4326" max="4579" width="8.85546875" style="56"/>
    <col min="4580" max="4580" width="3" style="56" customWidth="1"/>
    <col min="4581" max="4581" width="24.5703125" style="56" customWidth="1"/>
    <col min="4582" max="4835" width="8.85546875" style="56"/>
    <col min="4836" max="4836" width="3" style="56" customWidth="1"/>
    <col min="4837" max="4837" width="24.5703125" style="56" customWidth="1"/>
    <col min="4838" max="5091" width="8.85546875" style="56"/>
    <col min="5092" max="5092" width="3" style="56" customWidth="1"/>
    <col min="5093" max="5093" width="24.5703125" style="56" customWidth="1"/>
    <col min="5094" max="5347" width="8.85546875" style="56"/>
    <col min="5348" max="5348" width="3" style="56" customWidth="1"/>
    <col min="5349" max="5349" width="24.5703125" style="56" customWidth="1"/>
    <col min="5350" max="5603" width="8.85546875" style="56"/>
    <col min="5604" max="5604" width="3" style="56" customWidth="1"/>
    <col min="5605" max="5605" width="24.5703125" style="56" customWidth="1"/>
    <col min="5606" max="5859" width="8.85546875" style="56"/>
    <col min="5860" max="5860" width="3" style="56" customWidth="1"/>
    <col min="5861" max="5861" width="24.5703125" style="56" customWidth="1"/>
    <col min="5862" max="6115" width="8.85546875" style="56"/>
    <col min="6116" max="6116" width="3" style="56" customWidth="1"/>
    <col min="6117" max="6117" width="24.5703125" style="56" customWidth="1"/>
    <col min="6118" max="6371" width="8.85546875" style="56"/>
    <col min="6372" max="6372" width="3" style="56" customWidth="1"/>
    <col min="6373" max="6373" width="24.5703125" style="56" customWidth="1"/>
    <col min="6374" max="6627" width="8.85546875" style="56"/>
    <col min="6628" max="6628" width="3" style="56" customWidth="1"/>
    <col min="6629" max="6629" width="24.5703125" style="56" customWidth="1"/>
    <col min="6630" max="6883" width="8.85546875" style="56"/>
    <col min="6884" max="6884" width="3" style="56" customWidth="1"/>
    <col min="6885" max="6885" width="24.5703125" style="56" customWidth="1"/>
    <col min="6886" max="7139" width="8.85546875" style="56"/>
    <col min="7140" max="7140" width="3" style="56" customWidth="1"/>
    <col min="7141" max="7141" width="24.5703125" style="56" customWidth="1"/>
    <col min="7142" max="7395" width="8.85546875" style="56"/>
    <col min="7396" max="7396" width="3" style="56" customWidth="1"/>
    <col min="7397" max="7397" width="24.5703125" style="56" customWidth="1"/>
    <col min="7398" max="7651" width="8.85546875" style="56"/>
    <col min="7652" max="7652" width="3" style="56" customWidth="1"/>
    <col min="7653" max="7653" width="24.5703125" style="56" customWidth="1"/>
    <col min="7654" max="7907" width="8.85546875" style="56"/>
    <col min="7908" max="7908" width="3" style="56" customWidth="1"/>
    <col min="7909" max="7909" width="24.5703125" style="56" customWidth="1"/>
    <col min="7910" max="8163" width="8.85546875" style="56"/>
    <col min="8164" max="8164" width="3" style="56" customWidth="1"/>
    <col min="8165" max="8165" width="24.5703125" style="56" customWidth="1"/>
    <col min="8166" max="8419" width="8.85546875" style="56"/>
    <col min="8420" max="8420" width="3" style="56" customWidth="1"/>
    <col min="8421" max="8421" width="24.5703125" style="56" customWidth="1"/>
    <col min="8422" max="8675" width="8.85546875" style="56"/>
    <col min="8676" max="8676" width="3" style="56" customWidth="1"/>
    <col min="8677" max="8677" width="24.5703125" style="56" customWidth="1"/>
    <col min="8678" max="8931" width="8.85546875" style="56"/>
    <col min="8932" max="8932" width="3" style="56" customWidth="1"/>
    <col min="8933" max="8933" width="24.5703125" style="56" customWidth="1"/>
    <col min="8934" max="9187" width="8.85546875" style="56"/>
    <col min="9188" max="9188" width="3" style="56" customWidth="1"/>
    <col min="9189" max="9189" width="24.5703125" style="56" customWidth="1"/>
    <col min="9190" max="9443" width="8.85546875" style="56"/>
    <col min="9444" max="9444" width="3" style="56" customWidth="1"/>
    <col min="9445" max="9445" width="24.5703125" style="56" customWidth="1"/>
    <col min="9446" max="9699" width="8.85546875" style="56"/>
    <col min="9700" max="9700" width="3" style="56" customWidth="1"/>
    <col min="9701" max="9701" width="24.5703125" style="56" customWidth="1"/>
    <col min="9702" max="9955" width="8.85546875" style="56"/>
    <col min="9956" max="9956" width="3" style="56" customWidth="1"/>
    <col min="9957" max="9957" width="24.5703125" style="56" customWidth="1"/>
    <col min="9958" max="10211" width="8.85546875" style="56"/>
    <col min="10212" max="10212" width="3" style="56" customWidth="1"/>
    <col min="10213" max="10213" width="24.5703125" style="56" customWidth="1"/>
    <col min="10214" max="10467" width="8.85546875" style="56"/>
    <col min="10468" max="10468" width="3" style="56" customWidth="1"/>
    <col min="10469" max="10469" width="24.5703125" style="56" customWidth="1"/>
    <col min="10470" max="10723" width="8.85546875" style="56"/>
    <col min="10724" max="10724" width="3" style="56" customWidth="1"/>
    <col min="10725" max="10725" width="24.5703125" style="56" customWidth="1"/>
    <col min="10726" max="10979" width="8.85546875" style="56"/>
    <col min="10980" max="10980" width="3" style="56" customWidth="1"/>
    <col min="10981" max="10981" width="24.5703125" style="56" customWidth="1"/>
    <col min="10982" max="11235" width="8.85546875" style="56"/>
    <col min="11236" max="11236" width="3" style="56" customWidth="1"/>
    <col min="11237" max="11237" width="24.5703125" style="56" customWidth="1"/>
    <col min="11238" max="11491" width="8.85546875" style="56"/>
    <col min="11492" max="11492" width="3" style="56" customWidth="1"/>
    <col min="11493" max="11493" width="24.5703125" style="56" customWidth="1"/>
    <col min="11494" max="11747" width="8.85546875" style="56"/>
    <col min="11748" max="11748" width="3" style="56" customWidth="1"/>
    <col min="11749" max="11749" width="24.5703125" style="56" customWidth="1"/>
    <col min="11750" max="12003" width="8.85546875" style="56"/>
    <col min="12004" max="12004" width="3" style="56" customWidth="1"/>
    <col min="12005" max="12005" width="24.5703125" style="56" customWidth="1"/>
    <col min="12006" max="12259" width="8.85546875" style="56"/>
    <col min="12260" max="12260" width="3" style="56" customWidth="1"/>
    <col min="12261" max="12261" width="24.5703125" style="56" customWidth="1"/>
    <col min="12262" max="12515" width="8.85546875" style="56"/>
    <col min="12516" max="12516" width="3" style="56" customWidth="1"/>
    <col min="12517" max="12517" width="24.5703125" style="56" customWidth="1"/>
    <col min="12518" max="12771" width="8.85546875" style="56"/>
    <col min="12772" max="12772" width="3" style="56" customWidth="1"/>
    <col min="12773" max="12773" width="24.5703125" style="56" customWidth="1"/>
    <col min="12774" max="13027" width="8.85546875" style="56"/>
    <col min="13028" max="13028" width="3" style="56" customWidth="1"/>
    <col min="13029" max="13029" width="24.5703125" style="56" customWidth="1"/>
    <col min="13030" max="13283" width="8.85546875" style="56"/>
    <col min="13284" max="13284" width="3" style="56" customWidth="1"/>
    <col min="13285" max="13285" width="24.5703125" style="56" customWidth="1"/>
    <col min="13286" max="13539" width="8.85546875" style="56"/>
    <col min="13540" max="13540" width="3" style="56" customWidth="1"/>
    <col min="13541" max="13541" width="24.5703125" style="56" customWidth="1"/>
    <col min="13542" max="13795" width="8.85546875" style="56"/>
    <col min="13796" max="13796" width="3" style="56" customWidth="1"/>
    <col min="13797" max="13797" width="24.5703125" style="56" customWidth="1"/>
    <col min="13798" max="14051" width="8.85546875" style="56"/>
    <col min="14052" max="14052" width="3" style="56" customWidth="1"/>
    <col min="14053" max="14053" width="24.5703125" style="56" customWidth="1"/>
    <col min="14054" max="14307" width="8.85546875" style="56"/>
    <col min="14308" max="14308" width="3" style="56" customWidth="1"/>
    <col min="14309" max="14309" width="24.5703125" style="56" customWidth="1"/>
    <col min="14310" max="14563" width="8.85546875" style="56"/>
    <col min="14564" max="14564" width="3" style="56" customWidth="1"/>
    <col min="14565" max="14565" width="24.5703125" style="56" customWidth="1"/>
    <col min="14566" max="14819" width="8.85546875" style="56"/>
    <col min="14820" max="14820" width="3" style="56" customWidth="1"/>
    <col min="14821" max="14821" width="24.5703125" style="56" customWidth="1"/>
    <col min="14822" max="15075" width="8.85546875" style="56"/>
    <col min="15076" max="15076" width="3" style="56" customWidth="1"/>
    <col min="15077" max="15077" width="24.5703125" style="56" customWidth="1"/>
    <col min="15078" max="15331" width="8.85546875" style="56"/>
    <col min="15332" max="15332" width="3" style="56" customWidth="1"/>
    <col min="15333" max="15333" width="24.5703125" style="56" customWidth="1"/>
    <col min="15334" max="15587" width="8.85546875" style="56"/>
    <col min="15588" max="15588" width="3" style="56" customWidth="1"/>
    <col min="15589" max="15589" width="24.5703125" style="56" customWidth="1"/>
    <col min="15590" max="15843" width="8.85546875" style="56"/>
    <col min="15844" max="15844" width="3" style="56" customWidth="1"/>
    <col min="15845" max="15845" width="24.5703125" style="56" customWidth="1"/>
    <col min="15846" max="16099" width="8.85546875" style="56"/>
    <col min="16100" max="16100" width="3" style="56" customWidth="1"/>
    <col min="16101" max="16101" width="24.5703125" style="56" customWidth="1"/>
    <col min="16102" max="16384" width="8.85546875" style="56"/>
  </cols>
  <sheetData>
    <row r="1" spans="1:16">
      <c r="A1" s="2435" t="s">
        <v>1158</v>
      </c>
      <c r="B1" s="2435"/>
      <c r="C1" s="2435"/>
      <c r="D1" s="2435"/>
      <c r="E1" s="2435"/>
      <c r="F1" s="2435"/>
      <c r="G1" s="2435"/>
      <c r="H1" s="2435"/>
      <c r="I1" s="2435"/>
      <c r="J1" s="2435"/>
      <c r="K1" s="2435"/>
      <c r="L1" s="2435"/>
      <c r="M1" s="2435"/>
      <c r="N1" s="2435"/>
      <c r="O1" s="2435"/>
      <c r="P1" s="2435"/>
    </row>
    <row r="2" spans="1:16">
      <c r="A2" s="2436" t="s">
        <v>1119</v>
      </c>
      <c r="B2" s="2436"/>
      <c r="C2" s="2436"/>
      <c r="D2" s="2436"/>
      <c r="E2" s="2436"/>
      <c r="F2" s="2436"/>
      <c r="G2" s="2436"/>
      <c r="H2" s="2436"/>
      <c r="I2" s="2436"/>
      <c r="J2" s="2436"/>
      <c r="K2" s="2436"/>
      <c r="L2" s="688"/>
      <c r="M2" s="689"/>
      <c r="N2" s="688" t="s">
        <v>1120</v>
      </c>
      <c r="O2" s="689"/>
      <c r="P2" s="689"/>
    </row>
    <row r="3" spans="1:16" ht="0.6" customHeight="1">
      <c r="A3" s="690"/>
      <c r="B3" s="691"/>
      <c r="C3" s="691"/>
      <c r="D3" s="691"/>
      <c r="E3" s="691"/>
      <c r="F3" s="691"/>
      <c r="G3" s="691"/>
      <c r="H3" s="691"/>
      <c r="I3" s="691"/>
      <c r="J3" s="691"/>
      <c r="K3" s="691"/>
      <c r="L3" s="691"/>
      <c r="M3" s="691"/>
      <c r="N3" s="691"/>
      <c r="O3" s="691"/>
      <c r="P3" s="691"/>
    </row>
    <row r="4" spans="1:16">
      <c r="A4" s="2437" t="s">
        <v>44</v>
      </c>
      <c r="B4" s="2434" t="s">
        <v>1121</v>
      </c>
      <c r="C4" s="2434" t="s">
        <v>1122</v>
      </c>
      <c r="D4" s="2434" t="s">
        <v>1123</v>
      </c>
      <c r="E4" s="2430" t="s">
        <v>1108</v>
      </c>
      <c r="F4" s="2431"/>
      <c r="G4" s="2431"/>
      <c r="H4" s="2431"/>
      <c r="I4" s="2431"/>
      <c r="J4" s="2432"/>
      <c r="K4" s="2433" t="s">
        <v>1173</v>
      </c>
      <c r="L4" s="2433"/>
      <c r="M4" s="2433"/>
      <c r="N4" s="2433"/>
      <c r="O4" s="2433"/>
      <c r="P4" s="2433"/>
    </row>
    <row r="5" spans="1:16">
      <c r="A5" s="2437"/>
      <c r="B5" s="2434"/>
      <c r="C5" s="2434"/>
      <c r="D5" s="2434"/>
      <c r="E5" s="2430" t="s">
        <v>453</v>
      </c>
      <c r="F5" s="2431"/>
      <c r="G5" s="2431"/>
      <c r="H5" s="2431"/>
      <c r="I5" s="2431"/>
      <c r="J5" s="2432"/>
      <c r="K5" s="2433" t="s">
        <v>1694</v>
      </c>
      <c r="L5" s="2433"/>
      <c r="M5" s="2433"/>
      <c r="N5" s="2433"/>
      <c r="O5" s="2433"/>
      <c r="P5" s="2433"/>
    </row>
    <row r="6" spans="1:16" ht="29.45" customHeight="1">
      <c r="A6" s="2437"/>
      <c r="B6" s="2438"/>
      <c r="C6" s="2434"/>
      <c r="D6" s="2434" t="s">
        <v>1124</v>
      </c>
      <c r="E6" s="2434" t="s">
        <v>449</v>
      </c>
      <c r="F6" s="2434"/>
      <c r="G6" s="2434" t="s">
        <v>450</v>
      </c>
      <c r="H6" s="2434"/>
      <c r="I6" s="2434" t="s">
        <v>451</v>
      </c>
      <c r="J6" s="2434"/>
      <c r="K6" s="2434" t="s">
        <v>449</v>
      </c>
      <c r="L6" s="2434"/>
      <c r="M6" s="2434" t="s">
        <v>450</v>
      </c>
      <c r="N6" s="2434"/>
      <c r="O6" s="2434" t="s">
        <v>451</v>
      </c>
      <c r="P6" s="2434"/>
    </row>
    <row r="7" spans="1:16">
      <c r="A7" s="692"/>
      <c r="B7" s="296"/>
      <c r="C7" s="693"/>
      <c r="D7" s="296"/>
      <c r="E7" s="296" t="s">
        <v>1125</v>
      </c>
      <c r="F7" s="296" t="s">
        <v>452</v>
      </c>
      <c r="G7" s="296" t="s">
        <v>1125</v>
      </c>
      <c r="H7" s="296" t="s">
        <v>452</v>
      </c>
      <c r="I7" s="296" t="s">
        <v>1125</v>
      </c>
      <c r="J7" s="296" t="s">
        <v>452</v>
      </c>
      <c r="K7" s="296" t="s">
        <v>1125</v>
      </c>
      <c r="L7" s="296" t="s">
        <v>452</v>
      </c>
      <c r="M7" s="296" t="s">
        <v>1125</v>
      </c>
      <c r="N7" s="296" t="s">
        <v>452</v>
      </c>
      <c r="O7" s="296" t="s">
        <v>1125</v>
      </c>
      <c r="P7" s="296" t="s">
        <v>452</v>
      </c>
    </row>
    <row r="8" spans="1:16">
      <c r="A8" s="692">
        <v>1</v>
      </c>
      <c r="B8" s="694" t="s">
        <v>2294</v>
      </c>
      <c r="C8" s="693" t="s">
        <v>2296</v>
      </c>
      <c r="D8" s="296" t="s">
        <v>969</v>
      </c>
      <c r="E8" s="724" t="s">
        <v>973</v>
      </c>
      <c r="F8" s="729">
        <v>0</v>
      </c>
      <c r="G8" s="724">
        <v>8760</v>
      </c>
      <c r="H8" s="729">
        <v>1</v>
      </c>
      <c r="I8" s="724" t="s">
        <v>973</v>
      </c>
      <c r="J8" s="729">
        <v>0</v>
      </c>
      <c r="K8" s="724" t="s">
        <v>2712</v>
      </c>
      <c r="L8" s="729" t="s">
        <v>2712</v>
      </c>
      <c r="M8" s="724">
        <v>4367</v>
      </c>
      <c r="N8" s="729">
        <v>0.99429999999999996</v>
      </c>
      <c r="O8" s="724">
        <v>25</v>
      </c>
      <c r="P8" s="729">
        <v>5.7000000000000002E-3</v>
      </c>
    </row>
    <row r="9" spans="1:16">
      <c r="A9" s="692">
        <v>2</v>
      </c>
      <c r="B9" s="694" t="s">
        <v>2295</v>
      </c>
      <c r="C9" s="693" t="s">
        <v>2297</v>
      </c>
      <c r="D9" s="296" t="s">
        <v>969</v>
      </c>
      <c r="E9" s="724" t="s">
        <v>973</v>
      </c>
      <c r="F9" s="729">
        <v>0</v>
      </c>
      <c r="G9" s="724">
        <v>8755</v>
      </c>
      <c r="H9" s="729">
        <v>0.99939999999999996</v>
      </c>
      <c r="I9" s="724">
        <v>5</v>
      </c>
      <c r="J9" s="729">
        <v>5.9999999999999995E-4</v>
      </c>
      <c r="K9" s="724" t="s">
        <v>2712</v>
      </c>
      <c r="L9" s="729" t="s">
        <v>2712</v>
      </c>
      <c r="M9" s="724">
        <v>4390</v>
      </c>
      <c r="N9" s="729">
        <v>0.99960000000000004</v>
      </c>
      <c r="O9" s="724">
        <v>2</v>
      </c>
      <c r="P9" s="729">
        <v>4.0000000000000002E-4</v>
      </c>
    </row>
    <row r="10" spans="1:16" s="698" customFormat="1">
      <c r="A10" s="695"/>
      <c r="B10" s="696"/>
      <c r="C10" s="697"/>
      <c r="D10" s="696"/>
      <c r="E10" s="696"/>
      <c r="F10" s="696"/>
      <c r="G10" s="696"/>
      <c r="H10" s="696"/>
      <c r="I10" s="696"/>
      <c r="J10" s="696"/>
      <c r="K10" s="696"/>
      <c r="L10" s="696"/>
      <c r="M10" s="696"/>
      <c r="N10" s="696"/>
      <c r="O10" s="696"/>
      <c r="P10" s="696"/>
    </row>
    <row r="11" spans="1:16" s="698" customFormat="1">
      <c r="A11" s="698" t="s">
        <v>1141</v>
      </c>
    </row>
    <row r="12" spans="1:16" s="698" customFormat="1" ht="15.75">
      <c r="B12" s="699" t="s">
        <v>1118</v>
      </c>
    </row>
    <row r="13" spans="1:16" s="698" customFormat="1" ht="15.75">
      <c r="B13" s="699"/>
    </row>
    <row r="14" spans="1:16" s="698" customFormat="1" ht="18.75">
      <c r="B14" s="699"/>
      <c r="L14" s="2429" t="s">
        <v>1097</v>
      </c>
      <c r="M14" s="2429"/>
      <c r="N14" s="2429"/>
    </row>
    <row r="15" spans="1:16" s="698" customFormat="1" ht="15.75">
      <c r="B15" s="699"/>
    </row>
    <row r="16" spans="1:16" s="698" customFormat="1" ht="15.75">
      <c r="B16" s="699"/>
    </row>
    <row r="17" spans="2:2" s="698" customFormat="1" ht="15.75">
      <c r="B17" s="699"/>
    </row>
    <row r="18" spans="2:2" s="698" customFormat="1"/>
    <row r="19" spans="2:2" s="698" customFormat="1"/>
    <row r="20" spans="2:2" s="698" customFormat="1"/>
    <row r="21" spans="2:2" s="698" customFormat="1"/>
    <row r="22" spans="2:2" s="698" customFormat="1"/>
    <row r="23" spans="2:2" s="698" customFormat="1"/>
    <row r="24" spans="2:2" s="698" customFormat="1"/>
    <row r="25" spans="2:2" s="698" customFormat="1"/>
    <row r="26" spans="2:2" s="698" customFormat="1"/>
    <row r="27" spans="2:2" s="698" customFormat="1"/>
    <row r="28" spans="2:2" s="698" customFormat="1"/>
    <row r="29" spans="2:2" s="698" customFormat="1"/>
    <row r="30" spans="2:2" s="698" customFormat="1"/>
  </sheetData>
  <mergeCells count="17">
    <mergeCell ref="A1:P1"/>
    <mergeCell ref="A2:K2"/>
    <mergeCell ref="A4:A6"/>
    <mergeCell ref="B4:B6"/>
    <mergeCell ref="C4:C6"/>
    <mergeCell ref="D4:D6"/>
    <mergeCell ref="E4:J4"/>
    <mergeCell ref="K4:P4"/>
    <mergeCell ref="L14:N14"/>
    <mergeCell ref="E5:J5"/>
    <mergeCell ref="K5:P5"/>
    <mergeCell ref="E6:F6"/>
    <mergeCell ref="G6:H6"/>
    <mergeCell ref="I6:J6"/>
    <mergeCell ref="K6:L6"/>
    <mergeCell ref="M6:N6"/>
    <mergeCell ref="O6:P6"/>
  </mergeCells>
  <pageMargins left="0.4" right="0.41" top="0.75" bottom="0.75" header="0.3" footer="0.3"/>
  <pageSetup paperSize="9" scale="84"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9"/>
  <sheetViews>
    <sheetView view="pageBreakPreview" topLeftCell="A12" zoomScale="90" zoomScaleNormal="100" zoomScaleSheetLayoutView="90" workbookViewId="0">
      <selection activeCell="M32" sqref="M32"/>
    </sheetView>
  </sheetViews>
  <sheetFormatPr defaultColWidth="9.140625" defaultRowHeight="15"/>
  <cols>
    <col min="1" max="1" width="7.140625" style="1473" customWidth="1"/>
    <col min="2" max="2" width="56.42578125" style="1473" customWidth="1"/>
    <col min="3" max="3" width="11.42578125" style="1473" customWidth="1"/>
    <col min="4" max="4" width="11.5703125" style="1473" customWidth="1"/>
    <col min="5" max="16384" width="9.140625" style="1473"/>
  </cols>
  <sheetData>
    <row r="1" spans="1:4" ht="14.25" customHeight="1">
      <c r="A1" s="2440" t="s">
        <v>2708</v>
      </c>
      <c r="B1" s="2440"/>
      <c r="C1" s="2440"/>
      <c r="D1" s="2440"/>
    </row>
    <row r="2" spans="1:4" ht="14.25" customHeight="1">
      <c r="A2" s="1472"/>
      <c r="B2" s="1472"/>
      <c r="C2" s="1472"/>
      <c r="D2" s="1472"/>
    </row>
    <row r="3" spans="1:4" ht="23.1" customHeight="1">
      <c r="A3" s="2441" t="s">
        <v>2298</v>
      </c>
      <c r="B3" s="2441"/>
      <c r="C3" s="2442" t="s">
        <v>2299</v>
      </c>
      <c r="D3" s="2442"/>
    </row>
    <row r="4" spans="1:4">
      <c r="A4" s="2443" t="s">
        <v>1107</v>
      </c>
      <c r="B4" s="2443"/>
      <c r="C4" s="1585"/>
      <c r="D4" s="1585"/>
    </row>
    <row r="5" spans="1:4">
      <c r="A5" s="1586" t="s">
        <v>261</v>
      </c>
      <c r="B5" s="1586" t="s">
        <v>48</v>
      </c>
      <c r="C5" s="1587" t="s">
        <v>2300</v>
      </c>
      <c r="D5" s="1587" t="s">
        <v>531</v>
      </c>
    </row>
    <row r="6" spans="1:4" ht="14.25" customHeight="1">
      <c r="A6" s="1051"/>
      <c r="B6" s="1589" t="s">
        <v>2301</v>
      </c>
      <c r="C6" s="1588"/>
      <c r="D6" s="1588"/>
    </row>
    <row r="7" spans="1:4" ht="14.25" customHeight="1">
      <c r="A7" s="1594">
        <v>1</v>
      </c>
      <c r="B7" s="1589" t="s">
        <v>2302</v>
      </c>
      <c r="C7" s="1051"/>
      <c r="D7" s="1051"/>
    </row>
    <row r="8" spans="1:4" ht="14.25" customHeight="1">
      <c r="A8" s="1595" t="s">
        <v>64</v>
      </c>
      <c r="B8" s="1590" t="s">
        <v>2303</v>
      </c>
      <c r="C8" s="1051" t="s">
        <v>2304</v>
      </c>
      <c r="D8" s="1051" t="s">
        <v>2305</v>
      </c>
    </row>
    <row r="9" spans="1:4" ht="14.25" customHeight="1">
      <c r="A9" s="1595" t="s">
        <v>65</v>
      </c>
      <c r="B9" s="1590" t="s">
        <v>2306</v>
      </c>
      <c r="C9" s="1051">
        <v>0</v>
      </c>
      <c r="D9" s="1051" t="s">
        <v>2307</v>
      </c>
    </row>
    <row r="10" spans="1:4" ht="14.25" customHeight="1">
      <c r="A10" s="1595" t="s">
        <v>66</v>
      </c>
      <c r="B10" s="1590" t="s">
        <v>2308</v>
      </c>
      <c r="C10" s="1051" t="s">
        <v>2309</v>
      </c>
      <c r="D10" s="1051">
        <v>0</v>
      </c>
    </row>
    <row r="11" spans="1:4" ht="14.25" customHeight="1">
      <c r="A11" s="1594">
        <v>2</v>
      </c>
      <c r="B11" s="1590" t="s">
        <v>2310</v>
      </c>
      <c r="C11" s="1051" t="s">
        <v>2311</v>
      </c>
      <c r="D11" s="1051" t="s">
        <v>2312</v>
      </c>
    </row>
    <row r="12" spans="1:4" ht="14.25" customHeight="1">
      <c r="A12" s="1594">
        <v>3</v>
      </c>
      <c r="B12" s="1590" t="s">
        <v>2313</v>
      </c>
      <c r="C12" s="1051" t="s">
        <v>2314</v>
      </c>
      <c r="D12" s="1051" t="s">
        <v>2315</v>
      </c>
    </row>
    <row r="13" spans="1:4" ht="14.25" customHeight="1">
      <c r="A13" s="1051"/>
      <c r="B13" s="1589" t="s">
        <v>2316</v>
      </c>
      <c r="C13" s="1051"/>
      <c r="D13" s="1051"/>
    </row>
    <row r="14" spans="1:4" ht="14.25" customHeight="1">
      <c r="A14" s="1481"/>
      <c r="B14" s="1482"/>
      <c r="C14" s="1481"/>
      <c r="D14" s="1481"/>
    </row>
    <row r="16" spans="1:4" ht="15" customHeight="1">
      <c r="A16" s="2443" t="s">
        <v>1108</v>
      </c>
      <c r="B16" s="2443"/>
      <c r="C16" s="1585"/>
      <c r="D16" s="1585"/>
    </row>
    <row r="17" spans="1:4">
      <c r="A17" s="1586" t="s">
        <v>1142</v>
      </c>
      <c r="B17" s="1586" t="s">
        <v>48</v>
      </c>
      <c r="C17" s="1587" t="s">
        <v>2300</v>
      </c>
      <c r="D17" s="1587" t="s">
        <v>531</v>
      </c>
    </row>
    <row r="18" spans="1:4" ht="14.25" customHeight="1">
      <c r="A18" s="1051"/>
      <c r="B18" s="1589" t="s">
        <v>2301</v>
      </c>
      <c r="C18" s="1588"/>
      <c r="D18" s="1588"/>
    </row>
    <row r="19" spans="1:4" ht="14.25" customHeight="1">
      <c r="A19" s="1594">
        <v>1</v>
      </c>
      <c r="B19" s="1589" t="s">
        <v>2302</v>
      </c>
      <c r="C19" s="1051"/>
      <c r="D19" s="1051"/>
    </row>
    <row r="20" spans="1:4" ht="14.25" customHeight="1">
      <c r="A20" s="1595" t="s">
        <v>64</v>
      </c>
      <c r="B20" s="1590" t="s">
        <v>2303</v>
      </c>
      <c r="C20" s="1051" t="s">
        <v>2317</v>
      </c>
      <c r="D20" s="1051" t="s">
        <v>2318</v>
      </c>
    </row>
    <row r="21" spans="1:4" ht="14.25" customHeight="1">
      <c r="A21" s="1595" t="s">
        <v>65</v>
      </c>
      <c r="B21" s="1590" t="s">
        <v>2306</v>
      </c>
      <c r="C21" s="1051">
        <v>0</v>
      </c>
      <c r="D21" s="1051">
        <v>0</v>
      </c>
    </row>
    <row r="22" spans="1:4" ht="14.25" customHeight="1">
      <c r="A22" s="1595" t="s">
        <v>66</v>
      </c>
      <c r="B22" s="1590" t="s">
        <v>2308</v>
      </c>
      <c r="C22" s="1051" t="s">
        <v>2319</v>
      </c>
      <c r="D22" s="1051">
        <v>0</v>
      </c>
    </row>
    <row r="23" spans="1:4" ht="14.25" customHeight="1">
      <c r="A23" s="1596">
        <v>2</v>
      </c>
      <c r="B23" s="1591" t="s">
        <v>2310</v>
      </c>
      <c r="C23" s="1592" t="s">
        <v>2320</v>
      </c>
      <c r="D23" s="1592">
        <v>0</v>
      </c>
    </row>
    <row r="24" spans="1:4" ht="14.25" customHeight="1">
      <c r="A24" s="1597">
        <v>3</v>
      </c>
      <c r="B24" s="1480" t="s">
        <v>2313</v>
      </c>
      <c r="C24" s="1593" t="s">
        <v>2321</v>
      </c>
      <c r="D24" s="1593" t="s">
        <v>2322</v>
      </c>
    </row>
    <row r="25" spans="1:4" ht="14.25" customHeight="1">
      <c r="A25" s="1593"/>
      <c r="B25" s="1478" t="s">
        <v>2316</v>
      </c>
      <c r="C25" s="1593"/>
      <c r="D25" s="1593"/>
    </row>
    <row r="27" spans="1:4">
      <c r="A27" s="2443" t="s">
        <v>2323</v>
      </c>
      <c r="B27" s="2443"/>
      <c r="C27" s="1585"/>
      <c r="D27" s="1585"/>
    </row>
    <row r="28" spans="1:4">
      <c r="A28" s="1586" t="s">
        <v>261</v>
      </c>
      <c r="B28" s="1586" t="s">
        <v>48</v>
      </c>
      <c r="C28" s="1587" t="s">
        <v>2300</v>
      </c>
      <c r="D28" s="1587" t="s">
        <v>531</v>
      </c>
    </row>
    <row r="29" spans="1:4" ht="14.25" customHeight="1">
      <c r="A29" s="1051"/>
      <c r="B29" s="1589" t="s">
        <v>2301</v>
      </c>
      <c r="C29" s="1588"/>
      <c r="D29" s="1588"/>
    </row>
    <row r="30" spans="1:4" ht="14.25" customHeight="1">
      <c r="A30" s="1594">
        <v>1</v>
      </c>
      <c r="B30" s="1589" t="s">
        <v>2302</v>
      </c>
      <c r="C30" s="1051"/>
      <c r="D30" s="1051"/>
    </row>
    <row r="31" spans="1:4" ht="14.25" customHeight="1">
      <c r="A31" s="1595" t="s">
        <v>64</v>
      </c>
      <c r="B31" s="1590" t="s">
        <v>2303</v>
      </c>
      <c r="C31" s="1051" t="s">
        <v>2324</v>
      </c>
      <c r="D31" s="1051" t="s">
        <v>2325</v>
      </c>
    </row>
    <row r="32" spans="1:4" ht="14.25" customHeight="1">
      <c r="A32" s="1595" t="s">
        <v>65</v>
      </c>
      <c r="B32" s="1590" t="s">
        <v>2306</v>
      </c>
      <c r="C32" s="1051" t="s">
        <v>2326</v>
      </c>
      <c r="D32" s="1051">
        <v>0</v>
      </c>
    </row>
    <row r="33" spans="1:4" ht="14.25" customHeight="1">
      <c r="A33" s="1595" t="s">
        <v>66</v>
      </c>
      <c r="B33" s="1590" t="s">
        <v>2308</v>
      </c>
      <c r="C33" s="1051">
        <v>0</v>
      </c>
      <c r="D33" s="1051">
        <v>0</v>
      </c>
    </row>
    <row r="34" spans="1:4" ht="14.25" customHeight="1">
      <c r="A34" s="1594">
        <v>2</v>
      </c>
      <c r="B34" s="1590" t="s">
        <v>2310</v>
      </c>
      <c r="C34" s="1051">
        <v>0</v>
      </c>
      <c r="D34" s="1051">
        <v>0</v>
      </c>
    </row>
    <row r="35" spans="1:4" ht="14.25" customHeight="1">
      <c r="A35" s="1594">
        <v>3</v>
      </c>
      <c r="B35" s="1590" t="s">
        <v>2313</v>
      </c>
      <c r="C35" s="1051" t="s">
        <v>2327</v>
      </c>
      <c r="D35" s="1051" t="s">
        <v>2328</v>
      </c>
    </row>
    <row r="36" spans="1:4" ht="14.25" customHeight="1">
      <c r="A36" s="1051"/>
      <c r="B36" s="1589" t="s">
        <v>2316</v>
      </c>
      <c r="C36" s="1051"/>
      <c r="D36" s="1051"/>
    </row>
    <row r="38" spans="1:4" hidden="1">
      <c r="A38" s="2439" t="s">
        <v>1841</v>
      </c>
      <c r="B38" s="2439"/>
      <c r="C38" s="1474"/>
      <c r="D38" s="1474"/>
    </row>
    <row r="39" spans="1:4" ht="28.5" hidden="1" customHeight="1">
      <c r="A39" s="1483" t="s">
        <v>2329</v>
      </c>
      <c r="B39" s="1475" t="s">
        <v>48</v>
      </c>
      <c r="C39" s="1476" t="s">
        <v>2300</v>
      </c>
      <c r="D39" s="1476" t="s">
        <v>531</v>
      </c>
    </row>
    <row r="40" spans="1:4" ht="14.25" hidden="1" customHeight="1">
      <c r="A40" s="1477"/>
      <c r="B40" s="1478" t="s">
        <v>2301</v>
      </c>
      <c r="C40" s="1477"/>
      <c r="D40" s="1477"/>
    </row>
    <row r="41" spans="1:4" ht="14.25" hidden="1" customHeight="1">
      <c r="A41" s="1479">
        <v>1</v>
      </c>
      <c r="B41" s="1478" t="s">
        <v>2302</v>
      </c>
      <c r="C41" s="1477"/>
      <c r="D41" s="1477"/>
    </row>
    <row r="42" spans="1:4" ht="14.25" hidden="1" customHeight="1">
      <c r="A42" s="1480" t="s">
        <v>64</v>
      </c>
      <c r="B42" s="1480" t="s">
        <v>2303</v>
      </c>
      <c r="C42" s="1477"/>
      <c r="D42" s="1477"/>
    </row>
    <row r="43" spans="1:4" ht="14.25" hidden="1" customHeight="1">
      <c r="A43" s="1480" t="s">
        <v>65</v>
      </c>
      <c r="B43" s="1480" t="s">
        <v>2306</v>
      </c>
      <c r="C43" s="1477"/>
      <c r="D43" s="1477"/>
    </row>
    <row r="44" spans="1:4" ht="14.25" hidden="1" customHeight="1">
      <c r="A44" s="1480" t="s">
        <v>66</v>
      </c>
      <c r="B44" s="1480" t="s">
        <v>2308</v>
      </c>
      <c r="C44" s="1477"/>
      <c r="D44" s="1477"/>
    </row>
    <row r="45" spans="1:4" ht="14.25" hidden="1" customHeight="1">
      <c r="A45" s="1479">
        <v>2</v>
      </c>
      <c r="B45" s="1480" t="s">
        <v>2310</v>
      </c>
      <c r="C45" s="1477"/>
      <c r="D45" s="1477"/>
    </row>
    <row r="46" spans="1:4" ht="14.25" hidden="1" customHeight="1">
      <c r="A46" s="1479">
        <v>3</v>
      </c>
      <c r="B46" s="1480" t="s">
        <v>2313</v>
      </c>
      <c r="C46" s="1477"/>
      <c r="D46" s="1477"/>
    </row>
    <row r="47" spans="1:4" ht="14.25" hidden="1" customHeight="1">
      <c r="A47" s="1477"/>
      <c r="B47" s="1478" t="s">
        <v>2316</v>
      </c>
      <c r="C47" s="1477"/>
      <c r="D47" s="1477"/>
    </row>
    <row r="48" spans="1:4" hidden="1"/>
    <row r="49" spans="1:4" hidden="1">
      <c r="A49" s="2439" t="s">
        <v>1842</v>
      </c>
      <c r="B49" s="2439"/>
      <c r="C49" s="1474"/>
      <c r="D49" s="1474"/>
    </row>
    <row r="50" spans="1:4" ht="28.5" hidden="1" customHeight="1">
      <c r="A50" s="1483" t="s">
        <v>2329</v>
      </c>
      <c r="B50" s="1475" t="s">
        <v>48</v>
      </c>
      <c r="C50" s="1476" t="s">
        <v>2300</v>
      </c>
      <c r="D50" s="1476" t="s">
        <v>531</v>
      </c>
    </row>
    <row r="51" spans="1:4" ht="14.25" hidden="1" customHeight="1">
      <c r="A51" s="1477"/>
      <c r="B51" s="1478" t="s">
        <v>2301</v>
      </c>
      <c r="C51" s="1477"/>
      <c r="D51" s="1477"/>
    </row>
    <row r="52" spans="1:4" ht="14.25" hidden="1" customHeight="1">
      <c r="A52" s="1479">
        <v>1</v>
      </c>
      <c r="B52" s="1478" t="s">
        <v>2302</v>
      </c>
      <c r="C52" s="1477"/>
      <c r="D52" s="1477"/>
    </row>
    <row r="53" spans="1:4" ht="14.25" hidden="1" customHeight="1">
      <c r="A53" s="1480" t="s">
        <v>64</v>
      </c>
      <c r="B53" s="1480" t="s">
        <v>2303</v>
      </c>
      <c r="C53" s="1477"/>
      <c r="D53" s="1477"/>
    </row>
    <row r="54" spans="1:4" ht="14.25" hidden="1" customHeight="1">
      <c r="A54" s="1480" t="s">
        <v>65</v>
      </c>
      <c r="B54" s="1480" t="s">
        <v>2306</v>
      </c>
      <c r="C54" s="1477"/>
      <c r="D54" s="1477"/>
    </row>
    <row r="55" spans="1:4" ht="14.25" hidden="1" customHeight="1">
      <c r="A55" s="1480" t="s">
        <v>66</v>
      </c>
      <c r="B55" s="1480" t="s">
        <v>2308</v>
      </c>
      <c r="C55" s="1477"/>
      <c r="D55" s="1477"/>
    </row>
    <row r="56" spans="1:4" ht="14.25" hidden="1" customHeight="1">
      <c r="A56" s="1479">
        <v>2</v>
      </c>
      <c r="B56" s="1480" t="s">
        <v>2310</v>
      </c>
      <c r="C56" s="1477"/>
      <c r="D56" s="1477"/>
    </row>
    <row r="57" spans="1:4" ht="14.25" hidden="1" customHeight="1">
      <c r="A57" s="1479">
        <v>3</v>
      </c>
      <c r="B57" s="1480" t="s">
        <v>2313</v>
      </c>
      <c r="C57" s="1477"/>
      <c r="D57" s="1477"/>
    </row>
    <row r="58" spans="1:4" ht="14.25" hidden="1" customHeight="1">
      <c r="A58" s="1477"/>
      <c r="B58" s="1478" t="s">
        <v>2316</v>
      </c>
      <c r="C58" s="1477"/>
      <c r="D58" s="1477"/>
    </row>
    <row r="59" spans="1:4" hidden="1"/>
    <row r="60" spans="1:4" hidden="1">
      <c r="A60" s="2439" t="s">
        <v>1843</v>
      </c>
      <c r="B60" s="2439"/>
      <c r="C60" s="1474"/>
      <c r="D60" s="1474"/>
    </row>
    <row r="61" spans="1:4" ht="28.5" hidden="1" customHeight="1">
      <c r="A61" s="1483" t="s">
        <v>2329</v>
      </c>
      <c r="B61" s="1475" t="s">
        <v>48</v>
      </c>
      <c r="C61" s="1476" t="s">
        <v>2300</v>
      </c>
      <c r="D61" s="1476" t="s">
        <v>531</v>
      </c>
    </row>
    <row r="62" spans="1:4" ht="14.25" hidden="1" customHeight="1">
      <c r="A62" s="1477"/>
      <c r="B62" s="1478" t="s">
        <v>2301</v>
      </c>
      <c r="C62" s="1477"/>
      <c r="D62" s="1477"/>
    </row>
    <row r="63" spans="1:4" ht="14.25" hidden="1" customHeight="1">
      <c r="A63" s="1479">
        <v>1</v>
      </c>
      <c r="B63" s="1478" t="s">
        <v>2302</v>
      </c>
      <c r="C63" s="1477"/>
      <c r="D63" s="1477"/>
    </row>
    <row r="64" spans="1:4" ht="14.25" hidden="1" customHeight="1">
      <c r="A64" s="1480" t="s">
        <v>64</v>
      </c>
      <c r="B64" s="1480" t="s">
        <v>2303</v>
      </c>
      <c r="C64" s="1477"/>
      <c r="D64" s="1477"/>
    </row>
    <row r="65" spans="1:4" ht="14.25" hidden="1" customHeight="1">
      <c r="A65" s="1480" t="s">
        <v>65</v>
      </c>
      <c r="B65" s="1480" t="s">
        <v>2306</v>
      </c>
      <c r="C65" s="1477"/>
      <c r="D65" s="1477"/>
    </row>
    <row r="66" spans="1:4" ht="14.25" hidden="1" customHeight="1">
      <c r="A66" s="1480" t="s">
        <v>66</v>
      </c>
      <c r="B66" s="1480" t="s">
        <v>2308</v>
      </c>
      <c r="C66" s="1477"/>
      <c r="D66" s="1477"/>
    </row>
    <row r="67" spans="1:4" ht="14.25" hidden="1" customHeight="1">
      <c r="A67" s="1479">
        <v>2</v>
      </c>
      <c r="B67" s="1480" t="s">
        <v>2310</v>
      </c>
      <c r="C67" s="1477"/>
      <c r="D67" s="1477"/>
    </row>
    <row r="68" spans="1:4" ht="14.25" hidden="1" customHeight="1">
      <c r="A68" s="1479">
        <v>3</v>
      </c>
      <c r="B68" s="1480" t="s">
        <v>2313</v>
      </c>
      <c r="C68" s="1477"/>
      <c r="D68" s="1477"/>
    </row>
    <row r="69" spans="1:4" ht="14.25" hidden="1" customHeight="1">
      <c r="A69" s="1477"/>
      <c r="B69" s="1478" t="s">
        <v>2316</v>
      </c>
      <c r="C69" s="1477"/>
      <c r="D69" s="1477"/>
    </row>
  </sheetData>
  <mergeCells count="9">
    <mergeCell ref="A38:B38"/>
    <mergeCell ref="A49:B49"/>
    <mergeCell ref="A60:B60"/>
    <mergeCell ref="A1:D1"/>
    <mergeCell ref="A3:B3"/>
    <mergeCell ref="C3:D3"/>
    <mergeCell ref="A4:B4"/>
    <mergeCell ref="A16:B16"/>
    <mergeCell ref="A27:B27"/>
  </mergeCells>
  <pageMargins left="0.70866141732283472" right="0.70866141732283472" top="0.74803149606299213" bottom="0.74803149606299213" header="0.31496062992125984" footer="0.31496062992125984"/>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2"/>
  <sheetViews>
    <sheetView showGridLines="0" view="pageBreakPreview" topLeftCell="A3" zoomScale="80" zoomScaleNormal="70" zoomScaleSheetLayoutView="80" workbookViewId="0">
      <selection activeCell="H16" sqref="H16"/>
    </sheetView>
  </sheetViews>
  <sheetFormatPr defaultColWidth="8.85546875" defaultRowHeight="15"/>
  <cols>
    <col min="1" max="1" width="4.85546875" style="466" customWidth="1"/>
    <col min="2" max="2" width="8.85546875" style="466"/>
    <col min="3" max="3" width="20.140625" style="466" customWidth="1"/>
    <col min="4" max="4" width="15.7109375" style="466" customWidth="1"/>
    <col min="5" max="5" width="19" style="466" customWidth="1"/>
    <col min="6" max="6" width="15.5703125" style="466" customWidth="1"/>
    <col min="7" max="7" width="25" style="466" customWidth="1"/>
    <col min="8" max="8" width="27.7109375" style="466" customWidth="1"/>
    <col min="9" max="9" width="19.42578125" style="466" customWidth="1"/>
    <col min="10" max="10" width="3.28515625" style="466" customWidth="1"/>
    <col min="11" max="258" width="8.85546875" style="466"/>
    <col min="259" max="259" width="20.140625" style="466" customWidth="1"/>
    <col min="260" max="260" width="15.7109375" style="466" customWidth="1"/>
    <col min="261" max="261" width="19" style="466" customWidth="1"/>
    <col min="262" max="262" width="15.5703125" style="466" customWidth="1"/>
    <col min="263" max="263" width="25" style="466" customWidth="1"/>
    <col min="264" max="264" width="21.7109375" style="466" customWidth="1"/>
    <col min="265" max="265" width="0" style="466" hidden="1" customWidth="1"/>
    <col min="266" max="266" width="37.140625" style="466" customWidth="1"/>
    <col min="267" max="514" width="8.85546875" style="466"/>
    <col min="515" max="515" width="20.140625" style="466" customWidth="1"/>
    <col min="516" max="516" width="15.7109375" style="466" customWidth="1"/>
    <col min="517" max="517" width="19" style="466" customWidth="1"/>
    <col min="518" max="518" width="15.5703125" style="466" customWidth="1"/>
    <col min="519" max="519" width="25" style="466" customWidth="1"/>
    <col min="520" max="520" width="21.7109375" style="466" customWidth="1"/>
    <col min="521" max="521" width="0" style="466" hidden="1" customWidth="1"/>
    <col min="522" max="522" width="37.140625" style="466" customWidth="1"/>
    <col min="523" max="770" width="8.85546875" style="466"/>
    <col min="771" max="771" width="20.140625" style="466" customWidth="1"/>
    <col min="772" max="772" width="15.7109375" style="466" customWidth="1"/>
    <col min="773" max="773" width="19" style="466" customWidth="1"/>
    <col min="774" max="774" width="15.5703125" style="466" customWidth="1"/>
    <col min="775" max="775" width="25" style="466" customWidth="1"/>
    <col min="776" max="776" width="21.7109375" style="466" customWidth="1"/>
    <col min="777" max="777" width="0" style="466" hidden="1" customWidth="1"/>
    <col min="778" max="778" width="37.140625" style="466" customWidth="1"/>
    <col min="779" max="1026" width="8.85546875" style="466"/>
    <col min="1027" max="1027" width="20.140625" style="466" customWidth="1"/>
    <col min="1028" max="1028" width="15.7109375" style="466" customWidth="1"/>
    <col min="1029" max="1029" width="19" style="466" customWidth="1"/>
    <col min="1030" max="1030" width="15.5703125" style="466" customWidth="1"/>
    <col min="1031" max="1031" width="25" style="466" customWidth="1"/>
    <col min="1032" max="1032" width="21.7109375" style="466" customWidth="1"/>
    <col min="1033" max="1033" width="0" style="466" hidden="1" customWidth="1"/>
    <col min="1034" max="1034" width="37.140625" style="466" customWidth="1"/>
    <col min="1035" max="1282" width="8.85546875" style="466"/>
    <col min="1283" max="1283" width="20.140625" style="466" customWidth="1"/>
    <col min="1284" max="1284" width="15.7109375" style="466" customWidth="1"/>
    <col min="1285" max="1285" width="19" style="466" customWidth="1"/>
    <col min="1286" max="1286" width="15.5703125" style="466" customWidth="1"/>
    <col min="1287" max="1287" width="25" style="466" customWidth="1"/>
    <col min="1288" max="1288" width="21.7109375" style="466" customWidth="1"/>
    <col min="1289" max="1289" width="0" style="466" hidden="1" customWidth="1"/>
    <col min="1290" max="1290" width="37.140625" style="466" customWidth="1"/>
    <col min="1291" max="1538" width="8.85546875" style="466"/>
    <col min="1539" max="1539" width="20.140625" style="466" customWidth="1"/>
    <col min="1540" max="1540" width="15.7109375" style="466" customWidth="1"/>
    <col min="1541" max="1541" width="19" style="466" customWidth="1"/>
    <col min="1542" max="1542" width="15.5703125" style="466" customWidth="1"/>
    <col min="1543" max="1543" width="25" style="466" customWidth="1"/>
    <col min="1544" max="1544" width="21.7109375" style="466" customWidth="1"/>
    <col min="1545" max="1545" width="0" style="466" hidden="1" customWidth="1"/>
    <col min="1546" max="1546" width="37.140625" style="466" customWidth="1"/>
    <col min="1547" max="1794" width="8.85546875" style="466"/>
    <col min="1795" max="1795" width="20.140625" style="466" customWidth="1"/>
    <col min="1796" max="1796" width="15.7109375" style="466" customWidth="1"/>
    <col min="1797" max="1797" width="19" style="466" customWidth="1"/>
    <col min="1798" max="1798" width="15.5703125" style="466" customWidth="1"/>
    <col min="1799" max="1799" width="25" style="466" customWidth="1"/>
    <col min="1800" max="1800" width="21.7109375" style="466" customWidth="1"/>
    <col min="1801" max="1801" width="0" style="466" hidden="1" customWidth="1"/>
    <col min="1802" max="1802" width="37.140625" style="466" customWidth="1"/>
    <col min="1803" max="2050" width="8.85546875" style="466"/>
    <col min="2051" max="2051" width="20.140625" style="466" customWidth="1"/>
    <col min="2052" max="2052" width="15.7109375" style="466" customWidth="1"/>
    <col min="2053" max="2053" width="19" style="466" customWidth="1"/>
    <col min="2054" max="2054" width="15.5703125" style="466" customWidth="1"/>
    <col min="2055" max="2055" width="25" style="466" customWidth="1"/>
    <col min="2056" max="2056" width="21.7109375" style="466" customWidth="1"/>
    <col min="2057" max="2057" width="0" style="466" hidden="1" customWidth="1"/>
    <col min="2058" max="2058" width="37.140625" style="466" customWidth="1"/>
    <col min="2059" max="2306" width="8.85546875" style="466"/>
    <col min="2307" max="2307" width="20.140625" style="466" customWidth="1"/>
    <col min="2308" max="2308" width="15.7109375" style="466" customWidth="1"/>
    <col min="2309" max="2309" width="19" style="466" customWidth="1"/>
    <col min="2310" max="2310" width="15.5703125" style="466" customWidth="1"/>
    <col min="2311" max="2311" width="25" style="466" customWidth="1"/>
    <col min="2312" max="2312" width="21.7109375" style="466" customWidth="1"/>
    <col min="2313" max="2313" width="0" style="466" hidden="1" customWidth="1"/>
    <col min="2314" max="2314" width="37.140625" style="466" customWidth="1"/>
    <col min="2315" max="2562" width="8.85546875" style="466"/>
    <col min="2563" max="2563" width="20.140625" style="466" customWidth="1"/>
    <col min="2564" max="2564" width="15.7109375" style="466" customWidth="1"/>
    <col min="2565" max="2565" width="19" style="466" customWidth="1"/>
    <col min="2566" max="2566" width="15.5703125" style="466" customWidth="1"/>
    <col min="2567" max="2567" width="25" style="466" customWidth="1"/>
    <col min="2568" max="2568" width="21.7109375" style="466" customWidth="1"/>
    <col min="2569" max="2569" width="0" style="466" hidden="1" customWidth="1"/>
    <col min="2570" max="2570" width="37.140625" style="466" customWidth="1"/>
    <col min="2571" max="2818" width="8.85546875" style="466"/>
    <col min="2819" max="2819" width="20.140625" style="466" customWidth="1"/>
    <col min="2820" max="2820" width="15.7109375" style="466" customWidth="1"/>
    <col min="2821" max="2821" width="19" style="466" customWidth="1"/>
    <col min="2822" max="2822" width="15.5703125" style="466" customWidth="1"/>
    <col min="2823" max="2823" width="25" style="466" customWidth="1"/>
    <col min="2824" max="2824" width="21.7109375" style="466" customWidth="1"/>
    <col min="2825" max="2825" width="0" style="466" hidden="1" customWidth="1"/>
    <col min="2826" max="2826" width="37.140625" style="466" customWidth="1"/>
    <col min="2827" max="3074" width="8.85546875" style="466"/>
    <col min="3075" max="3075" width="20.140625" style="466" customWidth="1"/>
    <col min="3076" max="3076" width="15.7109375" style="466" customWidth="1"/>
    <col min="3077" max="3077" width="19" style="466" customWidth="1"/>
    <col min="3078" max="3078" width="15.5703125" style="466" customWidth="1"/>
    <col min="3079" max="3079" width="25" style="466" customWidth="1"/>
    <col min="3080" max="3080" width="21.7109375" style="466" customWidth="1"/>
    <col min="3081" max="3081" width="0" style="466" hidden="1" customWidth="1"/>
    <col min="3082" max="3082" width="37.140625" style="466" customWidth="1"/>
    <col min="3083" max="3330" width="8.85546875" style="466"/>
    <col min="3331" max="3331" width="20.140625" style="466" customWidth="1"/>
    <col min="3332" max="3332" width="15.7109375" style="466" customWidth="1"/>
    <col min="3333" max="3333" width="19" style="466" customWidth="1"/>
    <col min="3334" max="3334" width="15.5703125" style="466" customWidth="1"/>
    <col min="3335" max="3335" width="25" style="466" customWidth="1"/>
    <col min="3336" max="3336" width="21.7109375" style="466" customWidth="1"/>
    <col min="3337" max="3337" width="0" style="466" hidden="1" customWidth="1"/>
    <col min="3338" max="3338" width="37.140625" style="466" customWidth="1"/>
    <col min="3339" max="3586" width="8.85546875" style="466"/>
    <col min="3587" max="3587" width="20.140625" style="466" customWidth="1"/>
    <col min="3588" max="3588" width="15.7109375" style="466" customWidth="1"/>
    <col min="3589" max="3589" width="19" style="466" customWidth="1"/>
    <col min="3590" max="3590" width="15.5703125" style="466" customWidth="1"/>
    <col min="3591" max="3591" width="25" style="466" customWidth="1"/>
    <col min="3592" max="3592" width="21.7109375" style="466" customWidth="1"/>
    <col min="3593" max="3593" width="0" style="466" hidden="1" customWidth="1"/>
    <col min="3594" max="3594" width="37.140625" style="466" customWidth="1"/>
    <col min="3595" max="3842" width="8.85546875" style="466"/>
    <col min="3843" max="3843" width="20.140625" style="466" customWidth="1"/>
    <col min="3844" max="3844" width="15.7109375" style="466" customWidth="1"/>
    <col min="3845" max="3845" width="19" style="466" customWidth="1"/>
    <col min="3846" max="3846" width="15.5703125" style="466" customWidth="1"/>
    <col min="3847" max="3847" width="25" style="466" customWidth="1"/>
    <col min="3848" max="3848" width="21.7109375" style="466" customWidth="1"/>
    <col min="3849" max="3849" width="0" style="466" hidden="1" customWidth="1"/>
    <col min="3850" max="3850" width="37.140625" style="466" customWidth="1"/>
    <col min="3851" max="4098" width="8.85546875" style="466"/>
    <col min="4099" max="4099" width="20.140625" style="466" customWidth="1"/>
    <col min="4100" max="4100" width="15.7109375" style="466" customWidth="1"/>
    <col min="4101" max="4101" width="19" style="466" customWidth="1"/>
    <col min="4102" max="4102" width="15.5703125" style="466" customWidth="1"/>
    <col min="4103" max="4103" width="25" style="466" customWidth="1"/>
    <col min="4104" max="4104" width="21.7109375" style="466" customWidth="1"/>
    <col min="4105" max="4105" width="0" style="466" hidden="1" customWidth="1"/>
    <col min="4106" max="4106" width="37.140625" style="466" customWidth="1"/>
    <col min="4107" max="4354" width="8.85546875" style="466"/>
    <col min="4355" max="4355" width="20.140625" style="466" customWidth="1"/>
    <col min="4356" max="4356" width="15.7109375" style="466" customWidth="1"/>
    <col min="4357" max="4357" width="19" style="466" customWidth="1"/>
    <col min="4358" max="4358" width="15.5703125" style="466" customWidth="1"/>
    <col min="4359" max="4359" width="25" style="466" customWidth="1"/>
    <col min="4360" max="4360" width="21.7109375" style="466" customWidth="1"/>
    <col min="4361" max="4361" width="0" style="466" hidden="1" customWidth="1"/>
    <col min="4362" max="4362" width="37.140625" style="466" customWidth="1"/>
    <col min="4363" max="4610" width="8.85546875" style="466"/>
    <col min="4611" max="4611" width="20.140625" style="466" customWidth="1"/>
    <col min="4612" max="4612" width="15.7109375" style="466" customWidth="1"/>
    <col min="4613" max="4613" width="19" style="466" customWidth="1"/>
    <col min="4614" max="4614" width="15.5703125" style="466" customWidth="1"/>
    <col min="4615" max="4615" width="25" style="466" customWidth="1"/>
    <col min="4616" max="4616" width="21.7109375" style="466" customWidth="1"/>
    <col min="4617" max="4617" width="0" style="466" hidden="1" customWidth="1"/>
    <col min="4618" max="4618" width="37.140625" style="466" customWidth="1"/>
    <col min="4619" max="4866" width="8.85546875" style="466"/>
    <col min="4867" max="4867" width="20.140625" style="466" customWidth="1"/>
    <col min="4868" max="4868" width="15.7109375" style="466" customWidth="1"/>
    <col min="4869" max="4869" width="19" style="466" customWidth="1"/>
    <col min="4870" max="4870" width="15.5703125" style="466" customWidth="1"/>
    <col min="4871" max="4871" width="25" style="466" customWidth="1"/>
    <col min="4872" max="4872" width="21.7109375" style="466" customWidth="1"/>
    <col min="4873" max="4873" width="0" style="466" hidden="1" customWidth="1"/>
    <col min="4874" max="4874" width="37.140625" style="466" customWidth="1"/>
    <col min="4875" max="5122" width="8.85546875" style="466"/>
    <col min="5123" max="5123" width="20.140625" style="466" customWidth="1"/>
    <col min="5124" max="5124" width="15.7109375" style="466" customWidth="1"/>
    <col min="5125" max="5125" width="19" style="466" customWidth="1"/>
    <col min="5126" max="5126" width="15.5703125" style="466" customWidth="1"/>
    <col min="5127" max="5127" width="25" style="466" customWidth="1"/>
    <col min="5128" max="5128" width="21.7109375" style="466" customWidth="1"/>
    <col min="5129" max="5129" width="0" style="466" hidden="1" customWidth="1"/>
    <col min="5130" max="5130" width="37.140625" style="466" customWidth="1"/>
    <col min="5131" max="5378" width="8.85546875" style="466"/>
    <col min="5379" max="5379" width="20.140625" style="466" customWidth="1"/>
    <col min="5380" max="5380" width="15.7109375" style="466" customWidth="1"/>
    <col min="5381" max="5381" width="19" style="466" customWidth="1"/>
    <col min="5382" max="5382" width="15.5703125" style="466" customWidth="1"/>
    <col min="5383" max="5383" width="25" style="466" customWidth="1"/>
    <col min="5384" max="5384" width="21.7109375" style="466" customWidth="1"/>
    <col min="5385" max="5385" width="0" style="466" hidden="1" customWidth="1"/>
    <col min="5386" max="5386" width="37.140625" style="466" customWidth="1"/>
    <col min="5387" max="5634" width="8.85546875" style="466"/>
    <col min="5635" max="5635" width="20.140625" style="466" customWidth="1"/>
    <col min="5636" max="5636" width="15.7109375" style="466" customWidth="1"/>
    <col min="5637" max="5637" width="19" style="466" customWidth="1"/>
    <col min="5638" max="5638" width="15.5703125" style="466" customWidth="1"/>
    <col min="5639" max="5639" width="25" style="466" customWidth="1"/>
    <col min="5640" max="5640" width="21.7109375" style="466" customWidth="1"/>
    <col min="5641" max="5641" width="0" style="466" hidden="1" customWidth="1"/>
    <col min="5642" max="5642" width="37.140625" style="466" customWidth="1"/>
    <col min="5643" max="5890" width="8.85546875" style="466"/>
    <col min="5891" max="5891" width="20.140625" style="466" customWidth="1"/>
    <col min="5892" max="5892" width="15.7109375" style="466" customWidth="1"/>
    <col min="5893" max="5893" width="19" style="466" customWidth="1"/>
    <col min="5894" max="5894" width="15.5703125" style="466" customWidth="1"/>
    <col min="5895" max="5895" width="25" style="466" customWidth="1"/>
    <col min="5896" max="5896" width="21.7109375" style="466" customWidth="1"/>
    <col min="5897" max="5897" width="0" style="466" hidden="1" customWidth="1"/>
    <col min="5898" max="5898" width="37.140625" style="466" customWidth="1"/>
    <col min="5899" max="6146" width="8.85546875" style="466"/>
    <col min="6147" max="6147" width="20.140625" style="466" customWidth="1"/>
    <col min="6148" max="6148" width="15.7109375" style="466" customWidth="1"/>
    <col min="6149" max="6149" width="19" style="466" customWidth="1"/>
    <col min="6150" max="6150" width="15.5703125" style="466" customWidth="1"/>
    <col min="6151" max="6151" width="25" style="466" customWidth="1"/>
    <col min="6152" max="6152" width="21.7109375" style="466" customWidth="1"/>
    <col min="6153" max="6153" width="0" style="466" hidden="1" customWidth="1"/>
    <col min="6154" max="6154" width="37.140625" style="466" customWidth="1"/>
    <col min="6155" max="6402" width="8.85546875" style="466"/>
    <col min="6403" max="6403" width="20.140625" style="466" customWidth="1"/>
    <col min="6404" max="6404" width="15.7109375" style="466" customWidth="1"/>
    <col min="6405" max="6405" width="19" style="466" customWidth="1"/>
    <col min="6406" max="6406" width="15.5703125" style="466" customWidth="1"/>
    <col min="6407" max="6407" width="25" style="466" customWidth="1"/>
    <col min="6408" max="6408" width="21.7109375" style="466" customWidth="1"/>
    <col min="6409" max="6409" width="0" style="466" hidden="1" customWidth="1"/>
    <col min="6410" max="6410" width="37.140625" style="466" customWidth="1"/>
    <col min="6411" max="6658" width="8.85546875" style="466"/>
    <col min="6659" max="6659" width="20.140625" style="466" customWidth="1"/>
    <col min="6660" max="6660" width="15.7109375" style="466" customWidth="1"/>
    <col min="6661" max="6661" width="19" style="466" customWidth="1"/>
    <col min="6662" max="6662" width="15.5703125" style="466" customWidth="1"/>
    <col min="6663" max="6663" width="25" style="466" customWidth="1"/>
    <col min="6664" max="6664" width="21.7109375" style="466" customWidth="1"/>
    <col min="6665" max="6665" width="0" style="466" hidden="1" customWidth="1"/>
    <col min="6666" max="6666" width="37.140625" style="466" customWidth="1"/>
    <col min="6667" max="6914" width="8.85546875" style="466"/>
    <col min="6915" max="6915" width="20.140625" style="466" customWidth="1"/>
    <col min="6916" max="6916" width="15.7109375" style="466" customWidth="1"/>
    <col min="6917" max="6917" width="19" style="466" customWidth="1"/>
    <col min="6918" max="6918" width="15.5703125" style="466" customWidth="1"/>
    <col min="6919" max="6919" width="25" style="466" customWidth="1"/>
    <col min="6920" max="6920" width="21.7109375" style="466" customWidth="1"/>
    <col min="6921" max="6921" width="0" style="466" hidden="1" customWidth="1"/>
    <col min="6922" max="6922" width="37.140625" style="466" customWidth="1"/>
    <col min="6923" max="7170" width="8.85546875" style="466"/>
    <col min="7171" max="7171" width="20.140625" style="466" customWidth="1"/>
    <col min="7172" max="7172" width="15.7109375" style="466" customWidth="1"/>
    <col min="7173" max="7173" width="19" style="466" customWidth="1"/>
    <col min="7174" max="7174" width="15.5703125" style="466" customWidth="1"/>
    <col min="7175" max="7175" width="25" style="466" customWidth="1"/>
    <col min="7176" max="7176" width="21.7109375" style="466" customWidth="1"/>
    <col min="7177" max="7177" width="0" style="466" hidden="1" customWidth="1"/>
    <col min="7178" max="7178" width="37.140625" style="466" customWidth="1"/>
    <col min="7179" max="7426" width="8.85546875" style="466"/>
    <col min="7427" max="7427" width="20.140625" style="466" customWidth="1"/>
    <col min="7428" max="7428" width="15.7109375" style="466" customWidth="1"/>
    <col min="7429" max="7429" width="19" style="466" customWidth="1"/>
    <col min="7430" max="7430" width="15.5703125" style="466" customWidth="1"/>
    <col min="7431" max="7431" width="25" style="466" customWidth="1"/>
    <col min="7432" max="7432" width="21.7109375" style="466" customWidth="1"/>
    <col min="7433" max="7433" width="0" style="466" hidden="1" customWidth="1"/>
    <col min="7434" max="7434" width="37.140625" style="466" customWidth="1"/>
    <col min="7435" max="7682" width="8.85546875" style="466"/>
    <col min="7683" max="7683" width="20.140625" style="466" customWidth="1"/>
    <col min="7684" max="7684" width="15.7109375" style="466" customWidth="1"/>
    <col min="7685" max="7685" width="19" style="466" customWidth="1"/>
    <col min="7686" max="7686" width="15.5703125" style="466" customWidth="1"/>
    <col min="7687" max="7687" width="25" style="466" customWidth="1"/>
    <col min="7688" max="7688" width="21.7109375" style="466" customWidth="1"/>
    <col min="7689" max="7689" width="0" style="466" hidden="1" customWidth="1"/>
    <col min="7690" max="7690" width="37.140625" style="466" customWidth="1"/>
    <col min="7691" max="7938" width="8.85546875" style="466"/>
    <col min="7939" max="7939" width="20.140625" style="466" customWidth="1"/>
    <col min="7940" max="7940" width="15.7109375" style="466" customWidth="1"/>
    <col min="7941" max="7941" width="19" style="466" customWidth="1"/>
    <col min="7942" max="7942" width="15.5703125" style="466" customWidth="1"/>
    <col min="7943" max="7943" width="25" style="466" customWidth="1"/>
    <col min="7944" max="7944" width="21.7109375" style="466" customWidth="1"/>
    <col min="7945" max="7945" width="0" style="466" hidden="1" customWidth="1"/>
    <col min="7946" max="7946" width="37.140625" style="466" customWidth="1"/>
    <col min="7947" max="8194" width="8.85546875" style="466"/>
    <col min="8195" max="8195" width="20.140625" style="466" customWidth="1"/>
    <col min="8196" max="8196" width="15.7109375" style="466" customWidth="1"/>
    <col min="8197" max="8197" width="19" style="466" customWidth="1"/>
    <col min="8198" max="8198" width="15.5703125" style="466" customWidth="1"/>
    <col min="8199" max="8199" width="25" style="466" customWidth="1"/>
    <col min="8200" max="8200" width="21.7109375" style="466" customWidth="1"/>
    <col min="8201" max="8201" width="0" style="466" hidden="1" customWidth="1"/>
    <col min="8202" max="8202" width="37.140625" style="466" customWidth="1"/>
    <col min="8203" max="8450" width="8.85546875" style="466"/>
    <col min="8451" max="8451" width="20.140625" style="466" customWidth="1"/>
    <col min="8452" max="8452" width="15.7109375" style="466" customWidth="1"/>
    <col min="8453" max="8453" width="19" style="466" customWidth="1"/>
    <col min="8454" max="8454" width="15.5703125" style="466" customWidth="1"/>
    <col min="8455" max="8455" width="25" style="466" customWidth="1"/>
    <col min="8456" max="8456" width="21.7109375" style="466" customWidth="1"/>
    <col min="8457" max="8457" width="0" style="466" hidden="1" customWidth="1"/>
    <col min="8458" max="8458" width="37.140625" style="466" customWidth="1"/>
    <col min="8459" max="8706" width="8.85546875" style="466"/>
    <col min="8707" max="8707" width="20.140625" style="466" customWidth="1"/>
    <col min="8708" max="8708" width="15.7109375" style="466" customWidth="1"/>
    <col min="8709" max="8709" width="19" style="466" customWidth="1"/>
    <col min="8710" max="8710" width="15.5703125" style="466" customWidth="1"/>
    <col min="8711" max="8711" width="25" style="466" customWidth="1"/>
    <col min="8712" max="8712" width="21.7109375" style="466" customWidth="1"/>
    <col min="8713" max="8713" width="0" style="466" hidden="1" customWidth="1"/>
    <col min="8714" max="8714" width="37.140625" style="466" customWidth="1"/>
    <col min="8715" max="8962" width="8.85546875" style="466"/>
    <col min="8963" max="8963" width="20.140625" style="466" customWidth="1"/>
    <col min="8964" max="8964" width="15.7109375" style="466" customWidth="1"/>
    <col min="8965" max="8965" width="19" style="466" customWidth="1"/>
    <col min="8966" max="8966" width="15.5703125" style="466" customWidth="1"/>
    <col min="8967" max="8967" width="25" style="466" customWidth="1"/>
    <col min="8968" max="8968" width="21.7109375" style="466" customWidth="1"/>
    <col min="8969" max="8969" width="0" style="466" hidden="1" customWidth="1"/>
    <col min="8970" max="8970" width="37.140625" style="466" customWidth="1"/>
    <col min="8971" max="9218" width="8.85546875" style="466"/>
    <col min="9219" max="9219" width="20.140625" style="466" customWidth="1"/>
    <col min="9220" max="9220" width="15.7109375" style="466" customWidth="1"/>
    <col min="9221" max="9221" width="19" style="466" customWidth="1"/>
    <col min="9222" max="9222" width="15.5703125" style="466" customWidth="1"/>
    <col min="9223" max="9223" width="25" style="466" customWidth="1"/>
    <col min="9224" max="9224" width="21.7109375" style="466" customWidth="1"/>
    <col min="9225" max="9225" width="0" style="466" hidden="1" customWidth="1"/>
    <col min="9226" max="9226" width="37.140625" style="466" customWidth="1"/>
    <col min="9227" max="9474" width="8.85546875" style="466"/>
    <col min="9475" max="9475" width="20.140625" style="466" customWidth="1"/>
    <col min="9476" max="9476" width="15.7109375" style="466" customWidth="1"/>
    <col min="9477" max="9477" width="19" style="466" customWidth="1"/>
    <col min="9478" max="9478" width="15.5703125" style="466" customWidth="1"/>
    <col min="9479" max="9479" width="25" style="466" customWidth="1"/>
    <col min="9480" max="9480" width="21.7109375" style="466" customWidth="1"/>
    <col min="9481" max="9481" width="0" style="466" hidden="1" customWidth="1"/>
    <col min="9482" max="9482" width="37.140625" style="466" customWidth="1"/>
    <col min="9483" max="9730" width="8.85546875" style="466"/>
    <col min="9731" max="9731" width="20.140625" style="466" customWidth="1"/>
    <col min="9732" max="9732" width="15.7109375" style="466" customWidth="1"/>
    <col min="9733" max="9733" width="19" style="466" customWidth="1"/>
    <col min="9734" max="9734" width="15.5703125" style="466" customWidth="1"/>
    <col min="9735" max="9735" width="25" style="466" customWidth="1"/>
    <col min="9736" max="9736" width="21.7109375" style="466" customWidth="1"/>
    <col min="9737" max="9737" width="0" style="466" hidden="1" customWidth="1"/>
    <col min="9738" max="9738" width="37.140625" style="466" customWidth="1"/>
    <col min="9739" max="9986" width="8.85546875" style="466"/>
    <col min="9987" max="9987" width="20.140625" style="466" customWidth="1"/>
    <col min="9988" max="9988" width="15.7109375" style="466" customWidth="1"/>
    <col min="9989" max="9989" width="19" style="466" customWidth="1"/>
    <col min="9990" max="9990" width="15.5703125" style="466" customWidth="1"/>
    <col min="9991" max="9991" width="25" style="466" customWidth="1"/>
    <col min="9992" max="9992" width="21.7109375" style="466" customWidth="1"/>
    <col min="9993" max="9993" width="0" style="466" hidden="1" customWidth="1"/>
    <col min="9994" max="9994" width="37.140625" style="466" customWidth="1"/>
    <col min="9995" max="10242" width="8.85546875" style="466"/>
    <col min="10243" max="10243" width="20.140625" style="466" customWidth="1"/>
    <col min="10244" max="10244" width="15.7109375" style="466" customWidth="1"/>
    <col min="10245" max="10245" width="19" style="466" customWidth="1"/>
    <col min="10246" max="10246" width="15.5703125" style="466" customWidth="1"/>
    <col min="10247" max="10247" width="25" style="466" customWidth="1"/>
    <col min="10248" max="10248" width="21.7109375" style="466" customWidth="1"/>
    <col min="10249" max="10249" width="0" style="466" hidden="1" customWidth="1"/>
    <col min="10250" max="10250" width="37.140625" style="466" customWidth="1"/>
    <col min="10251" max="10498" width="8.85546875" style="466"/>
    <col min="10499" max="10499" width="20.140625" style="466" customWidth="1"/>
    <col min="10500" max="10500" width="15.7109375" style="466" customWidth="1"/>
    <col min="10501" max="10501" width="19" style="466" customWidth="1"/>
    <col min="10502" max="10502" width="15.5703125" style="466" customWidth="1"/>
    <col min="10503" max="10503" width="25" style="466" customWidth="1"/>
    <col min="10504" max="10504" width="21.7109375" style="466" customWidth="1"/>
    <col min="10505" max="10505" width="0" style="466" hidden="1" customWidth="1"/>
    <col min="10506" max="10506" width="37.140625" style="466" customWidth="1"/>
    <col min="10507" max="10754" width="8.85546875" style="466"/>
    <col min="10755" max="10755" width="20.140625" style="466" customWidth="1"/>
    <col min="10756" max="10756" width="15.7109375" style="466" customWidth="1"/>
    <col min="10757" max="10757" width="19" style="466" customWidth="1"/>
    <col min="10758" max="10758" width="15.5703125" style="466" customWidth="1"/>
    <col min="10759" max="10759" width="25" style="466" customWidth="1"/>
    <col min="10760" max="10760" width="21.7109375" style="466" customWidth="1"/>
    <col min="10761" max="10761" width="0" style="466" hidden="1" customWidth="1"/>
    <col min="10762" max="10762" width="37.140625" style="466" customWidth="1"/>
    <col min="10763" max="11010" width="8.85546875" style="466"/>
    <col min="11011" max="11011" width="20.140625" style="466" customWidth="1"/>
    <col min="11012" max="11012" width="15.7109375" style="466" customWidth="1"/>
    <col min="11013" max="11013" width="19" style="466" customWidth="1"/>
    <col min="11014" max="11014" width="15.5703125" style="466" customWidth="1"/>
    <col min="11015" max="11015" width="25" style="466" customWidth="1"/>
    <col min="11016" max="11016" width="21.7109375" style="466" customWidth="1"/>
    <col min="11017" max="11017" width="0" style="466" hidden="1" customWidth="1"/>
    <col min="11018" max="11018" width="37.140625" style="466" customWidth="1"/>
    <col min="11019" max="11266" width="8.85546875" style="466"/>
    <col min="11267" max="11267" width="20.140625" style="466" customWidth="1"/>
    <col min="11268" max="11268" width="15.7109375" style="466" customWidth="1"/>
    <col min="11269" max="11269" width="19" style="466" customWidth="1"/>
    <col min="11270" max="11270" width="15.5703125" style="466" customWidth="1"/>
    <col min="11271" max="11271" width="25" style="466" customWidth="1"/>
    <col min="11272" max="11272" width="21.7109375" style="466" customWidth="1"/>
    <col min="11273" max="11273" width="0" style="466" hidden="1" customWidth="1"/>
    <col min="11274" max="11274" width="37.140625" style="466" customWidth="1"/>
    <col min="11275" max="11522" width="8.85546875" style="466"/>
    <col min="11523" max="11523" width="20.140625" style="466" customWidth="1"/>
    <col min="11524" max="11524" width="15.7109375" style="466" customWidth="1"/>
    <col min="11525" max="11525" width="19" style="466" customWidth="1"/>
    <col min="11526" max="11526" width="15.5703125" style="466" customWidth="1"/>
    <col min="11527" max="11527" width="25" style="466" customWidth="1"/>
    <col min="11528" max="11528" width="21.7109375" style="466" customWidth="1"/>
    <col min="11529" max="11529" width="0" style="466" hidden="1" customWidth="1"/>
    <col min="11530" max="11530" width="37.140625" style="466" customWidth="1"/>
    <col min="11531" max="11778" width="8.85546875" style="466"/>
    <col min="11779" max="11779" width="20.140625" style="466" customWidth="1"/>
    <col min="11780" max="11780" width="15.7109375" style="466" customWidth="1"/>
    <col min="11781" max="11781" width="19" style="466" customWidth="1"/>
    <col min="11782" max="11782" width="15.5703125" style="466" customWidth="1"/>
    <col min="11783" max="11783" width="25" style="466" customWidth="1"/>
    <col min="11784" max="11784" width="21.7109375" style="466" customWidth="1"/>
    <col min="11785" max="11785" width="0" style="466" hidden="1" customWidth="1"/>
    <col min="11786" max="11786" width="37.140625" style="466" customWidth="1"/>
    <col min="11787" max="12034" width="8.85546875" style="466"/>
    <col min="12035" max="12035" width="20.140625" style="466" customWidth="1"/>
    <col min="12036" max="12036" width="15.7109375" style="466" customWidth="1"/>
    <col min="12037" max="12037" width="19" style="466" customWidth="1"/>
    <col min="12038" max="12038" width="15.5703125" style="466" customWidth="1"/>
    <col min="12039" max="12039" width="25" style="466" customWidth="1"/>
    <col min="12040" max="12040" width="21.7109375" style="466" customWidth="1"/>
    <col min="12041" max="12041" width="0" style="466" hidden="1" customWidth="1"/>
    <col min="12042" max="12042" width="37.140625" style="466" customWidth="1"/>
    <col min="12043" max="12290" width="8.85546875" style="466"/>
    <col min="12291" max="12291" width="20.140625" style="466" customWidth="1"/>
    <col min="12292" max="12292" width="15.7109375" style="466" customWidth="1"/>
    <col min="12293" max="12293" width="19" style="466" customWidth="1"/>
    <col min="12294" max="12294" width="15.5703125" style="466" customWidth="1"/>
    <col min="12295" max="12295" width="25" style="466" customWidth="1"/>
    <col min="12296" max="12296" width="21.7109375" style="466" customWidth="1"/>
    <col min="12297" max="12297" width="0" style="466" hidden="1" customWidth="1"/>
    <col min="12298" max="12298" width="37.140625" style="466" customWidth="1"/>
    <col min="12299" max="12546" width="8.85546875" style="466"/>
    <col min="12547" max="12547" width="20.140625" style="466" customWidth="1"/>
    <col min="12548" max="12548" width="15.7109375" style="466" customWidth="1"/>
    <col min="12549" max="12549" width="19" style="466" customWidth="1"/>
    <col min="12550" max="12550" width="15.5703125" style="466" customWidth="1"/>
    <col min="12551" max="12551" width="25" style="466" customWidth="1"/>
    <col min="12552" max="12552" width="21.7109375" style="466" customWidth="1"/>
    <col min="12553" max="12553" width="0" style="466" hidden="1" customWidth="1"/>
    <col min="12554" max="12554" width="37.140625" style="466" customWidth="1"/>
    <col min="12555" max="12802" width="8.85546875" style="466"/>
    <col min="12803" max="12803" width="20.140625" style="466" customWidth="1"/>
    <col min="12804" max="12804" width="15.7109375" style="466" customWidth="1"/>
    <col min="12805" max="12805" width="19" style="466" customWidth="1"/>
    <col min="12806" max="12806" width="15.5703125" style="466" customWidth="1"/>
    <col min="12807" max="12807" width="25" style="466" customWidth="1"/>
    <col min="12808" max="12808" width="21.7109375" style="466" customWidth="1"/>
    <col min="12809" max="12809" width="0" style="466" hidden="1" customWidth="1"/>
    <col min="12810" max="12810" width="37.140625" style="466" customWidth="1"/>
    <col min="12811" max="13058" width="8.85546875" style="466"/>
    <col min="13059" max="13059" width="20.140625" style="466" customWidth="1"/>
    <col min="13060" max="13060" width="15.7109375" style="466" customWidth="1"/>
    <col min="13061" max="13061" width="19" style="466" customWidth="1"/>
    <col min="13062" max="13062" width="15.5703125" style="466" customWidth="1"/>
    <col min="13063" max="13063" width="25" style="466" customWidth="1"/>
    <col min="13064" max="13064" width="21.7109375" style="466" customWidth="1"/>
    <col min="13065" max="13065" width="0" style="466" hidden="1" customWidth="1"/>
    <col min="13066" max="13066" width="37.140625" style="466" customWidth="1"/>
    <col min="13067" max="13314" width="8.85546875" style="466"/>
    <col min="13315" max="13315" width="20.140625" style="466" customWidth="1"/>
    <col min="13316" max="13316" width="15.7109375" style="466" customWidth="1"/>
    <col min="13317" max="13317" width="19" style="466" customWidth="1"/>
    <col min="13318" max="13318" width="15.5703125" style="466" customWidth="1"/>
    <col min="13319" max="13319" width="25" style="466" customWidth="1"/>
    <col min="13320" max="13320" width="21.7109375" style="466" customWidth="1"/>
    <col min="13321" max="13321" width="0" style="466" hidden="1" customWidth="1"/>
    <col min="13322" max="13322" width="37.140625" style="466" customWidth="1"/>
    <col min="13323" max="13570" width="8.85546875" style="466"/>
    <col min="13571" max="13571" width="20.140625" style="466" customWidth="1"/>
    <col min="13572" max="13572" width="15.7109375" style="466" customWidth="1"/>
    <col min="13573" max="13573" width="19" style="466" customWidth="1"/>
    <col min="13574" max="13574" width="15.5703125" style="466" customWidth="1"/>
    <col min="13575" max="13575" width="25" style="466" customWidth="1"/>
    <col min="13576" max="13576" width="21.7109375" style="466" customWidth="1"/>
    <col min="13577" max="13577" width="0" style="466" hidden="1" customWidth="1"/>
    <col min="13578" max="13578" width="37.140625" style="466" customWidth="1"/>
    <col min="13579" max="13826" width="8.85546875" style="466"/>
    <col min="13827" max="13827" width="20.140625" style="466" customWidth="1"/>
    <col min="13828" max="13828" width="15.7109375" style="466" customWidth="1"/>
    <col min="13829" max="13829" width="19" style="466" customWidth="1"/>
    <col min="13830" max="13830" width="15.5703125" style="466" customWidth="1"/>
    <col min="13831" max="13831" width="25" style="466" customWidth="1"/>
    <col min="13832" max="13832" width="21.7109375" style="466" customWidth="1"/>
    <col min="13833" max="13833" width="0" style="466" hidden="1" customWidth="1"/>
    <col min="13834" max="13834" width="37.140625" style="466" customWidth="1"/>
    <col min="13835" max="14082" width="8.85546875" style="466"/>
    <col min="14083" max="14083" width="20.140625" style="466" customWidth="1"/>
    <col min="14084" max="14084" width="15.7109375" style="466" customWidth="1"/>
    <col min="14085" max="14085" width="19" style="466" customWidth="1"/>
    <col min="14086" max="14086" width="15.5703125" style="466" customWidth="1"/>
    <col min="14087" max="14087" width="25" style="466" customWidth="1"/>
    <col min="14088" max="14088" width="21.7109375" style="466" customWidth="1"/>
    <col min="14089" max="14089" width="0" style="466" hidden="1" customWidth="1"/>
    <col min="14090" max="14090" width="37.140625" style="466" customWidth="1"/>
    <col min="14091" max="14338" width="8.85546875" style="466"/>
    <col min="14339" max="14339" width="20.140625" style="466" customWidth="1"/>
    <col min="14340" max="14340" width="15.7109375" style="466" customWidth="1"/>
    <col min="14341" max="14341" width="19" style="466" customWidth="1"/>
    <col min="14342" max="14342" width="15.5703125" style="466" customWidth="1"/>
    <col min="14343" max="14343" width="25" style="466" customWidth="1"/>
    <col min="14344" max="14344" width="21.7109375" style="466" customWidth="1"/>
    <col min="14345" max="14345" width="0" style="466" hidden="1" customWidth="1"/>
    <col min="14346" max="14346" width="37.140625" style="466" customWidth="1"/>
    <col min="14347" max="14594" width="8.85546875" style="466"/>
    <col min="14595" max="14595" width="20.140625" style="466" customWidth="1"/>
    <col min="14596" max="14596" width="15.7109375" style="466" customWidth="1"/>
    <col min="14597" max="14597" width="19" style="466" customWidth="1"/>
    <col min="14598" max="14598" width="15.5703125" style="466" customWidth="1"/>
    <col min="14599" max="14599" width="25" style="466" customWidth="1"/>
    <col min="14600" max="14600" width="21.7109375" style="466" customWidth="1"/>
    <col min="14601" max="14601" width="0" style="466" hidden="1" customWidth="1"/>
    <col min="14602" max="14602" width="37.140625" style="466" customWidth="1"/>
    <col min="14603" max="14850" width="8.85546875" style="466"/>
    <col min="14851" max="14851" width="20.140625" style="466" customWidth="1"/>
    <col min="14852" max="14852" width="15.7109375" style="466" customWidth="1"/>
    <col min="14853" max="14853" width="19" style="466" customWidth="1"/>
    <col min="14854" max="14854" width="15.5703125" style="466" customWidth="1"/>
    <col min="14855" max="14855" width="25" style="466" customWidth="1"/>
    <col min="14856" max="14856" width="21.7109375" style="466" customWidth="1"/>
    <col min="14857" max="14857" width="0" style="466" hidden="1" customWidth="1"/>
    <col min="14858" max="14858" width="37.140625" style="466" customWidth="1"/>
    <col min="14859" max="15106" width="8.85546875" style="466"/>
    <col min="15107" max="15107" width="20.140625" style="466" customWidth="1"/>
    <col min="15108" max="15108" width="15.7109375" style="466" customWidth="1"/>
    <col min="15109" max="15109" width="19" style="466" customWidth="1"/>
    <col min="15110" max="15110" width="15.5703125" style="466" customWidth="1"/>
    <col min="15111" max="15111" width="25" style="466" customWidth="1"/>
    <col min="15112" max="15112" width="21.7109375" style="466" customWidth="1"/>
    <col min="15113" max="15113" width="0" style="466" hidden="1" customWidth="1"/>
    <col min="15114" max="15114" width="37.140625" style="466" customWidth="1"/>
    <col min="15115" max="15362" width="8.85546875" style="466"/>
    <col min="15363" max="15363" width="20.140625" style="466" customWidth="1"/>
    <col min="15364" max="15364" width="15.7109375" style="466" customWidth="1"/>
    <col min="15365" max="15365" width="19" style="466" customWidth="1"/>
    <col min="15366" max="15366" width="15.5703125" style="466" customWidth="1"/>
    <col min="15367" max="15367" width="25" style="466" customWidth="1"/>
    <col min="15368" max="15368" width="21.7109375" style="466" customWidth="1"/>
    <col min="15369" max="15369" width="0" style="466" hidden="1" customWidth="1"/>
    <col min="15370" max="15370" width="37.140625" style="466" customWidth="1"/>
    <col min="15371" max="15618" width="8.85546875" style="466"/>
    <col min="15619" max="15619" width="20.140625" style="466" customWidth="1"/>
    <col min="15620" max="15620" width="15.7109375" style="466" customWidth="1"/>
    <col min="15621" max="15621" width="19" style="466" customWidth="1"/>
    <col min="15622" max="15622" width="15.5703125" style="466" customWidth="1"/>
    <col min="15623" max="15623" width="25" style="466" customWidth="1"/>
    <col min="15624" max="15624" width="21.7109375" style="466" customWidth="1"/>
    <col min="15625" max="15625" width="0" style="466" hidden="1" customWidth="1"/>
    <col min="15626" max="15626" width="37.140625" style="466" customWidth="1"/>
    <col min="15627" max="15874" width="8.85546875" style="466"/>
    <col min="15875" max="15875" width="20.140625" style="466" customWidth="1"/>
    <col min="15876" max="15876" width="15.7109375" style="466" customWidth="1"/>
    <col min="15877" max="15877" width="19" style="466" customWidth="1"/>
    <col min="15878" max="15878" width="15.5703125" style="466" customWidth="1"/>
    <col min="15879" max="15879" width="25" style="466" customWidth="1"/>
    <col min="15880" max="15880" width="21.7109375" style="466" customWidth="1"/>
    <col min="15881" max="15881" width="0" style="466" hidden="1" customWidth="1"/>
    <col min="15882" max="15882" width="37.140625" style="466" customWidth="1"/>
    <col min="15883" max="16130" width="8.85546875" style="466"/>
    <col min="16131" max="16131" width="20.140625" style="466" customWidth="1"/>
    <col min="16132" max="16132" width="15.7109375" style="466" customWidth="1"/>
    <col min="16133" max="16133" width="19" style="466" customWidth="1"/>
    <col min="16134" max="16134" width="15.5703125" style="466" customWidth="1"/>
    <col min="16135" max="16135" width="25" style="466" customWidth="1"/>
    <col min="16136" max="16136" width="21.7109375" style="466" customWidth="1"/>
    <col min="16137" max="16137" width="0" style="466" hidden="1" customWidth="1"/>
    <col min="16138" max="16138" width="37.140625" style="466" customWidth="1"/>
    <col min="16139" max="16384" width="8.85546875" style="466"/>
  </cols>
  <sheetData>
    <row r="1" spans="1:10">
      <c r="A1" s="1598"/>
      <c r="B1" s="1598"/>
      <c r="C1" s="1598"/>
      <c r="D1" s="1598"/>
      <c r="E1" s="1598"/>
      <c r="F1" s="1598"/>
      <c r="G1" s="1598"/>
      <c r="H1" s="1598"/>
      <c r="I1" s="1598"/>
      <c r="J1" s="1598"/>
    </row>
    <row r="2" spans="1:10" ht="18.75">
      <c r="A2" s="1598"/>
      <c r="B2" s="2444"/>
      <c r="C2" s="2444"/>
      <c r="D2" s="2444"/>
      <c r="E2" s="2444"/>
      <c r="F2" s="2444"/>
      <c r="G2" s="2444"/>
      <c r="H2" s="2444"/>
      <c r="I2" s="2444"/>
      <c r="J2" s="1598"/>
    </row>
    <row r="3" spans="1:10">
      <c r="A3" s="1598"/>
      <c r="B3" s="1598"/>
      <c r="C3" s="2440" t="s">
        <v>2708</v>
      </c>
      <c r="D3" s="2440"/>
      <c r="E3" s="2440"/>
      <c r="F3" s="2440"/>
      <c r="G3" s="1598"/>
      <c r="H3" s="1598"/>
      <c r="I3" s="1598"/>
      <c r="J3" s="1598"/>
    </row>
    <row r="4" spans="1:10">
      <c r="A4" s="1598"/>
      <c r="B4" s="1598"/>
      <c r="C4" s="1598"/>
      <c r="D4" s="1598"/>
      <c r="E4" s="1598"/>
      <c r="F4" s="1598"/>
      <c r="G4" s="1598"/>
      <c r="H4" s="1598"/>
      <c r="I4" s="1598"/>
      <c r="J4" s="1598"/>
    </row>
    <row r="5" spans="1:10" ht="21">
      <c r="A5" s="1598"/>
      <c r="B5" s="1599"/>
      <c r="C5" s="1599"/>
      <c r="D5" s="1599"/>
      <c r="E5" s="1599"/>
      <c r="F5" s="1599"/>
      <c r="G5" s="1599"/>
      <c r="H5" s="1600"/>
      <c r="I5" s="1600"/>
      <c r="J5" s="1598"/>
    </row>
    <row r="6" spans="1:10" ht="21">
      <c r="A6" s="1598"/>
      <c r="B6" s="2445" t="s">
        <v>1143</v>
      </c>
      <c r="C6" s="2445"/>
      <c r="D6" s="2445"/>
      <c r="E6" s="2445"/>
      <c r="F6" s="2445"/>
      <c r="G6" s="2445"/>
      <c r="H6" s="1601" t="s">
        <v>1144</v>
      </c>
      <c r="I6" s="1602"/>
      <c r="J6" s="1598"/>
    </row>
    <row r="7" spans="1:10">
      <c r="A7" s="1598"/>
      <c r="B7" s="1598"/>
      <c r="C7" s="1598"/>
      <c r="D7" s="1598"/>
      <c r="E7" s="1598"/>
      <c r="F7" s="1598"/>
      <c r="G7" s="1598"/>
      <c r="H7" s="1598"/>
      <c r="I7" s="1598"/>
      <c r="J7" s="1598"/>
    </row>
    <row r="8" spans="1:10" ht="75.75" customHeight="1">
      <c r="A8" s="1598"/>
      <c r="B8" s="1603" t="s">
        <v>462</v>
      </c>
      <c r="C8" s="1603" t="s">
        <v>433</v>
      </c>
      <c r="D8" s="1603" t="s">
        <v>457</v>
      </c>
      <c r="E8" s="1603" t="s">
        <v>1145</v>
      </c>
      <c r="F8" s="1603" t="s">
        <v>1146</v>
      </c>
      <c r="G8" s="1603" t="s">
        <v>1147</v>
      </c>
      <c r="H8" s="1603" t="s">
        <v>1148</v>
      </c>
      <c r="I8" s="1603" t="s">
        <v>1149</v>
      </c>
      <c r="J8" s="1598"/>
    </row>
    <row r="9" spans="1:10" ht="18.75">
      <c r="A9" s="1598"/>
      <c r="B9" s="2446" t="s">
        <v>1108</v>
      </c>
      <c r="C9" s="2447"/>
      <c r="D9" s="2447"/>
      <c r="E9" s="2447"/>
      <c r="F9" s="2447"/>
      <c r="G9" s="2447"/>
      <c r="H9" s="2447"/>
      <c r="I9" s="2448"/>
      <c r="J9" s="1598"/>
    </row>
    <row r="10" spans="1:10" ht="18.75">
      <c r="A10" s="1598"/>
      <c r="B10" s="1604">
        <v>1</v>
      </c>
      <c r="C10" s="1605" t="s">
        <v>363</v>
      </c>
      <c r="D10" s="1606"/>
      <c r="E10" s="1606"/>
      <c r="F10" s="1606"/>
      <c r="G10" s="1606"/>
      <c r="H10" s="1606"/>
      <c r="I10" s="1606"/>
      <c r="J10" s="1598"/>
    </row>
    <row r="11" spans="1:10" ht="18.75">
      <c r="A11" s="1598"/>
      <c r="B11" s="1606" t="s">
        <v>1150</v>
      </c>
      <c r="C11" s="1607" t="s">
        <v>1580</v>
      </c>
      <c r="D11" s="1608">
        <v>75</v>
      </c>
      <c r="E11" s="1709">
        <v>3760.08</v>
      </c>
      <c r="F11" s="1606">
        <v>11</v>
      </c>
      <c r="G11" s="1606">
        <v>375</v>
      </c>
      <c r="H11" s="1609">
        <f>F11/D11</f>
        <v>0.14666666666666667</v>
      </c>
      <c r="I11" s="1609">
        <f>G11/E11</f>
        <v>9.9731920597434104E-2</v>
      </c>
      <c r="J11" s="1598"/>
    </row>
    <row r="12" spans="1:10" ht="18.75">
      <c r="A12" s="1598"/>
      <c r="B12" s="1604">
        <v>2</v>
      </c>
      <c r="C12" s="1605" t="s">
        <v>965</v>
      </c>
      <c r="D12" s="1606"/>
      <c r="E12" s="1606"/>
      <c r="F12" s="1606"/>
      <c r="G12" s="1606"/>
      <c r="H12" s="1606"/>
      <c r="I12" s="1606"/>
      <c r="J12" s="1598"/>
    </row>
    <row r="13" spans="1:10" ht="18.75">
      <c r="A13" s="1598"/>
      <c r="B13" s="1606" t="s">
        <v>1150</v>
      </c>
      <c r="C13" s="1607" t="s">
        <v>1580</v>
      </c>
      <c r="D13" s="1610">
        <v>347</v>
      </c>
      <c r="E13" s="1709">
        <v>11323.8</v>
      </c>
      <c r="F13" s="1608">
        <v>61</v>
      </c>
      <c r="G13" s="1608">
        <v>1800</v>
      </c>
      <c r="H13" s="1609">
        <f>F13/D13</f>
        <v>0.17579250720461095</v>
      </c>
      <c r="I13" s="1609">
        <f>G13/E13</f>
        <v>0.15895724050230489</v>
      </c>
      <c r="J13" s="1598"/>
    </row>
    <row r="14" spans="1:10" ht="18.75">
      <c r="A14" s="1598"/>
      <c r="B14" s="2446" t="s">
        <v>1173</v>
      </c>
      <c r="C14" s="2447"/>
      <c r="D14" s="2447"/>
      <c r="E14" s="2447"/>
      <c r="F14" s="2447"/>
      <c r="G14" s="2447"/>
      <c r="H14" s="2447"/>
      <c r="I14" s="2448"/>
      <c r="J14" s="1598"/>
    </row>
    <row r="15" spans="1:10" ht="18.75">
      <c r="A15" s="1598"/>
      <c r="B15" s="1604">
        <v>1</v>
      </c>
      <c r="C15" s="1605" t="s">
        <v>363</v>
      </c>
      <c r="D15" s="1606"/>
      <c r="E15" s="1606"/>
      <c r="F15" s="1606"/>
      <c r="G15" s="1606"/>
      <c r="H15" s="1606"/>
      <c r="I15" s="1606"/>
      <c r="J15" s="1598"/>
    </row>
    <row r="16" spans="1:10" ht="18.75">
      <c r="A16" s="1598"/>
      <c r="B16" s="1606" t="s">
        <v>1150</v>
      </c>
      <c r="C16" s="1607" t="s">
        <v>1580</v>
      </c>
      <c r="D16" s="1608">
        <v>77</v>
      </c>
      <c r="E16" s="1709">
        <v>3928.18</v>
      </c>
      <c r="F16" s="1606">
        <v>4</v>
      </c>
      <c r="G16" s="1611">
        <v>187</v>
      </c>
      <c r="H16" s="1609">
        <f>F16/D16</f>
        <v>5.1948051948051951E-2</v>
      </c>
      <c r="I16" s="1609">
        <f>G16/E16</f>
        <v>4.7604743163500655E-2</v>
      </c>
      <c r="J16" s="1598"/>
    </row>
    <row r="17" spans="1:10" ht="18.75">
      <c r="A17" s="1598"/>
      <c r="B17" s="1604">
        <v>2</v>
      </c>
      <c r="C17" s="1605" t="s">
        <v>965</v>
      </c>
      <c r="D17" s="1606"/>
      <c r="E17" s="1606"/>
      <c r="F17" s="1606"/>
      <c r="G17" s="1606"/>
      <c r="H17" s="1606"/>
      <c r="I17" s="1606"/>
      <c r="J17" s="1598"/>
    </row>
    <row r="18" spans="1:10" ht="18.75">
      <c r="A18" s="1598"/>
      <c r="B18" s="1606" t="s">
        <v>1150</v>
      </c>
      <c r="C18" s="1607" t="s">
        <v>1580</v>
      </c>
      <c r="D18" s="1610">
        <v>351</v>
      </c>
      <c r="E18" s="1709">
        <v>11405.84</v>
      </c>
      <c r="F18" s="1608">
        <v>16</v>
      </c>
      <c r="G18" s="1709">
        <v>702.35</v>
      </c>
      <c r="H18" s="1609">
        <f>F18/D18</f>
        <v>4.5584045584045586E-2</v>
      </c>
      <c r="I18" s="1609">
        <f>G18/E18</f>
        <v>6.1578103848554777E-2</v>
      </c>
      <c r="J18" s="1598"/>
    </row>
    <row r="19" spans="1:10" ht="18.75">
      <c r="A19" s="1598"/>
      <c r="B19" s="1612"/>
      <c r="C19" s="1613"/>
      <c r="D19" s="1612"/>
      <c r="E19" s="1612"/>
      <c r="F19" s="1612"/>
      <c r="G19" s="1614"/>
      <c r="H19" s="1614"/>
      <c r="I19" s="1612"/>
      <c r="J19" s="1598"/>
    </row>
    <row r="20" spans="1:10" ht="18.75">
      <c r="A20" s="1598"/>
      <c r="B20" s="1612"/>
      <c r="C20" s="1613"/>
      <c r="D20" s="1612"/>
      <c r="E20" s="1612"/>
      <c r="F20" s="1612"/>
      <c r="G20" s="1612"/>
      <c r="H20" s="1612"/>
      <c r="I20" s="1612"/>
      <c r="J20" s="1598"/>
    </row>
    <row r="21" spans="1:10" ht="18.75">
      <c r="A21" s="1598"/>
      <c r="B21" s="1612"/>
      <c r="C21" s="1613"/>
      <c r="D21" s="1612"/>
      <c r="E21" s="1612"/>
      <c r="F21" s="1612"/>
      <c r="G21" s="2449" t="s">
        <v>1097</v>
      </c>
      <c r="H21" s="2449"/>
      <c r="I21" s="1612"/>
      <c r="J21" s="1598"/>
    </row>
    <row r="22" spans="1:10" ht="18.75">
      <c r="A22" s="1598"/>
      <c r="B22" s="1602"/>
      <c r="C22" s="1602"/>
      <c r="D22" s="1602"/>
      <c r="E22" s="1602"/>
      <c r="F22" s="1602"/>
      <c r="G22" s="1598"/>
      <c r="H22" s="1598"/>
      <c r="I22" s="1615"/>
      <c r="J22" s="1598"/>
    </row>
  </sheetData>
  <mergeCells count="6">
    <mergeCell ref="B2:I2"/>
    <mergeCell ref="B6:G6"/>
    <mergeCell ref="B9:I9"/>
    <mergeCell ref="G21:H21"/>
    <mergeCell ref="B14:I14"/>
    <mergeCell ref="C3:F3"/>
  </mergeCells>
  <pageMargins left="0.70866141732283472" right="0.70866141732283472" top="0.74803149606299213" bottom="0.74803149606299213" header="0.31496062992125984" footer="0.31496062992125984"/>
  <pageSetup paperSize="9" scale="5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0"/>
  <sheetViews>
    <sheetView view="pageBreakPreview" zoomScale="60" zoomScaleNormal="85" workbookViewId="0">
      <selection sqref="A1:D1"/>
    </sheetView>
  </sheetViews>
  <sheetFormatPr defaultRowHeight="15"/>
  <cols>
    <col min="1" max="1" width="9.140625" style="225" customWidth="1"/>
    <col min="2" max="2" width="31.42578125" style="171" customWidth="1"/>
    <col min="3" max="3" width="20.28515625" style="225" bestFit="1" customWidth="1"/>
    <col min="4" max="4" width="15.7109375" style="1261" bestFit="1" customWidth="1"/>
    <col min="5" max="5" width="11.42578125" style="1261" customWidth="1"/>
    <col min="6" max="6" width="14.28515625" style="1261" customWidth="1"/>
    <col min="7" max="16384" width="9.140625" style="156"/>
  </cols>
  <sheetData>
    <row r="1" spans="1:8">
      <c r="A1" s="2440" t="s">
        <v>2708</v>
      </c>
      <c r="B1" s="2440"/>
      <c r="C1" s="2440"/>
      <c r="D1" s="2440"/>
      <c r="E1" s="1375"/>
      <c r="F1" s="1375"/>
    </row>
    <row r="3" spans="1:8" s="1514" customFormat="1">
      <c r="A3" s="1528" t="s">
        <v>1152</v>
      </c>
      <c r="B3" s="72"/>
      <c r="C3" s="72"/>
      <c r="D3" s="72"/>
      <c r="E3" s="2450" t="s">
        <v>1153</v>
      </c>
      <c r="F3" s="2450"/>
      <c r="G3" s="2450"/>
      <c r="H3" s="72"/>
    </row>
    <row r="4" spans="1:8" s="1514" customFormat="1">
      <c r="A4" s="1528"/>
      <c r="B4" s="72"/>
      <c r="C4" s="72"/>
      <c r="D4" s="72"/>
      <c r="E4" s="1529"/>
      <c r="F4" s="1529"/>
      <c r="G4" s="1529"/>
      <c r="H4" s="72"/>
    </row>
    <row r="5" spans="1:8" ht="60">
      <c r="A5" s="1262" t="s">
        <v>2330</v>
      </c>
      <c r="B5" s="1487" t="s">
        <v>2331</v>
      </c>
      <c r="C5" s="1260" t="s">
        <v>2332</v>
      </c>
      <c r="D5" s="1260" t="s">
        <v>2333</v>
      </c>
      <c r="E5" s="1260" t="s">
        <v>2334</v>
      </c>
      <c r="F5" s="1260" t="s">
        <v>2335</v>
      </c>
    </row>
    <row r="6" spans="1:8">
      <c r="A6" s="1487" t="s">
        <v>2360</v>
      </c>
      <c r="B6" s="213"/>
      <c r="C6" s="1376"/>
      <c r="D6" s="1376"/>
      <c r="E6" s="1376"/>
      <c r="F6" s="1376"/>
    </row>
    <row r="7" spans="1:8">
      <c r="A7" s="1376">
        <v>1</v>
      </c>
      <c r="B7" s="213" t="s">
        <v>2346</v>
      </c>
      <c r="C7" s="1376" t="s">
        <v>2347</v>
      </c>
      <c r="D7" s="1376">
        <v>383</v>
      </c>
      <c r="E7" s="1376">
        <v>378</v>
      </c>
      <c r="F7" s="1485">
        <v>98.694516971279384</v>
      </c>
    </row>
    <row r="8" spans="1:8">
      <c r="A8" s="1376">
        <v>2</v>
      </c>
      <c r="B8" s="213" t="s">
        <v>2166</v>
      </c>
      <c r="C8" s="1376" t="s">
        <v>2348</v>
      </c>
      <c r="D8" s="1376">
        <v>256</v>
      </c>
      <c r="E8" s="1376">
        <v>252</v>
      </c>
      <c r="F8" s="1485">
        <v>98.4375</v>
      </c>
    </row>
    <row r="9" spans="1:8">
      <c r="A9" s="1376">
        <v>3</v>
      </c>
      <c r="B9" s="213" t="s">
        <v>2349</v>
      </c>
      <c r="C9" s="1376" t="s">
        <v>2350</v>
      </c>
      <c r="D9" s="1376">
        <v>248</v>
      </c>
      <c r="E9" s="1376">
        <v>232</v>
      </c>
      <c r="F9" s="1485">
        <v>93.548387096774192</v>
      </c>
    </row>
    <row r="10" spans="1:8">
      <c r="A10" s="1376">
        <v>4</v>
      </c>
      <c r="B10" s="213" t="s">
        <v>1576</v>
      </c>
      <c r="C10" s="1376" t="s">
        <v>2351</v>
      </c>
      <c r="D10" s="1376">
        <v>320</v>
      </c>
      <c r="E10" s="1376">
        <v>295</v>
      </c>
      <c r="F10" s="1485">
        <v>92.1875</v>
      </c>
    </row>
    <row r="11" spans="1:8">
      <c r="A11" s="1376">
        <v>5</v>
      </c>
      <c r="B11" s="213" t="s">
        <v>2352</v>
      </c>
      <c r="C11" s="1376" t="s">
        <v>2353</v>
      </c>
      <c r="D11" s="1376">
        <v>288</v>
      </c>
      <c r="E11" s="1376">
        <v>280</v>
      </c>
      <c r="F11" s="1486">
        <v>97.222222222222214</v>
      </c>
    </row>
    <row r="12" spans="1:8">
      <c r="A12" s="1376">
        <v>6</v>
      </c>
      <c r="B12" s="213" t="s">
        <v>2354</v>
      </c>
      <c r="C12" s="1376" t="s">
        <v>2353</v>
      </c>
      <c r="D12" s="1376">
        <v>288</v>
      </c>
      <c r="E12" s="1376">
        <v>278</v>
      </c>
      <c r="F12" s="1486">
        <v>96.527777777777786</v>
      </c>
    </row>
    <row r="13" spans="1:8">
      <c r="A13" s="1376">
        <v>7</v>
      </c>
      <c r="B13" s="213" t="s">
        <v>2355</v>
      </c>
      <c r="C13" s="1376" t="s">
        <v>2356</v>
      </c>
      <c r="D13" s="1376">
        <v>320</v>
      </c>
      <c r="E13" s="1376">
        <v>320</v>
      </c>
      <c r="F13" s="1486">
        <v>100</v>
      </c>
    </row>
    <row r="14" spans="1:8">
      <c r="A14" s="1487" t="s">
        <v>2361</v>
      </c>
      <c r="B14" s="1488"/>
      <c r="C14" s="1374"/>
      <c r="D14" s="616"/>
      <c r="E14" s="616"/>
      <c r="F14" s="616"/>
    </row>
    <row r="15" spans="1:8">
      <c r="A15" s="1376">
        <v>1</v>
      </c>
      <c r="B15" s="1489" t="s">
        <v>1634</v>
      </c>
      <c r="C15" s="1376" t="s">
        <v>2336</v>
      </c>
      <c r="D15" s="154">
        <v>40</v>
      </c>
      <c r="E15" s="154">
        <v>38</v>
      </c>
      <c r="F15" s="154">
        <v>95</v>
      </c>
    </row>
    <row r="16" spans="1:8">
      <c r="A16" s="1376">
        <v>2</v>
      </c>
      <c r="B16" s="1489" t="s">
        <v>1630</v>
      </c>
      <c r="C16" s="1376" t="s">
        <v>2337</v>
      </c>
      <c r="D16" s="844">
        <v>64</v>
      </c>
      <c r="E16" s="844">
        <v>66</v>
      </c>
      <c r="F16" s="1484">
        <v>103.125</v>
      </c>
    </row>
    <row r="17" spans="1:6">
      <c r="A17" s="1376">
        <v>3</v>
      </c>
      <c r="B17" s="1489" t="s">
        <v>1631</v>
      </c>
      <c r="C17" s="1376" t="s">
        <v>2338</v>
      </c>
      <c r="D17" s="844">
        <v>56</v>
      </c>
      <c r="E17" s="844">
        <v>52</v>
      </c>
      <c r="F17" s="1484">
        <v>92.857142857142861</v>
      </c>
    </row>
    <row r="18" spans="1:6">
      <c r="A18" s="1376">
        <v>4</v>
      </c>
      <c r="B18" s="1489" t="s">
        <v>1619</v>
      </c>
      <c r="C18" s="1376" t="s">
        <v>2339</v>
      </c>
      <c r="D18" s="844">
        <v>48</v>
      </c>
      <c r="E18" s="844">
        <v>44</v>
      </c>
      <c r="F18" s="1484">
        <v>91.666666666666657</v>
      </c>
    </row>
    <row r="19" spans="1:6">
      <c r="A19" s="1376">
        <v>5</v>
      </c>
      <c r="B19" s="1489" t="s">
        <v>1600</v>
      </c>
      <c r="C19" s="1376" t="s">
        <v>2340</v>
      </c>
      <c r="D19" s="844">
        <v>32</v>
      </c>
      <c r="E19" s="844">
        <v>28</v>
      </c>
      <c r="F19" s="1484">
        <v>87.5</v>
      </c>
    </row>
    <row r="20" spans="1:6">
      <c r="A20" s="1376">
        <v>6</v>
      </c>
      <c r="B20" s="1489" t="s">
        <v>1133</v>
      </c>
      <c r="C20" s="1376" t="s">
        <v>2341</v>
      </c>
      <c r="D20" s="844">
        <v>80</v>
      </c>
      <c r="E20" s="844">
        <v>70</v>
      </c>
      <c r="F20" s="1484">
        <v>87.5</v>
      </c>
    </row>
    <row r="21" spans="1:6">
      <c r="A21" s="1376">
        <v>7</v>
      </c>
      <c r="B21" s="1489" t="s">
        <v>1642</v>
      </c>
      <c r="C21" s="1376" t="s">
        <v>2342</v>
      </c>
      <c r="D21" s="844">
        <v>80</v>
      </c>
      <c r="E21" s="844">
        <v>70</v>
      </c>
      <c r="F21" s="1484">
        <v>87.5</v>
      </c>
    </row>
    <row r="22" spans="1:6">
      <c r="A22" s="1376">
        <v>8</v>
      </c>
      <c r="B22" s="1489" t="s">
        <v>1127</v>
      </c>
      <c r="C22" s="1376" t="s">
        <v>2343</v>
      </c>
      <c r="D22" s="844">
        <v>120</v>
      </c>
      <c r="E22" s="844">
        <v>96</v>
      </c>
      <c r="F22" s="1484">
        <v>80</v>
      </c>
    </row>
    <row r="23" spans="1:6">
      <c r="A23" s="1376">
        <v>9</v>
      </c>
      <c r="B23" s="1489" t="s">
        <v>1140</v>
      </c>
      <c r="C23" s="1376" t="s">
        <v>2344</v>
      </c>
      <c r="D23" s="844">
        <v>120</v>
      </c>
      <c r="E23" s="844">
        <v>93</v>
      </c>
      <c r="F23" s="1484">
        <v>77.5</v>
      </c>
    </row>
    <row r="24" spans="1:6">
      <c r="A24" s="1376">
        <v>10</v>
      </c>
      <c r="B24" s="1489" t="s">
        <v>1639</v>
      </c>
      <c r="C24" s="1376" t="s">
        <v>2340</v>
      </c>
      <c r="D24" s="844">
        <v>32</v>
      </c>
      <c r="E24" s="844">
        <v>24.5</v>
      </c>
      <c r="F24" s="1484">
        <v>76.5625</v>
      </c>
    </row>
    <row r="25" spans="1:6">
      <c r="A25" s="1376">
        <v>11</v>
      </c>
      <c r="B25" s="1489" t="s">
        <v>2345</v>
      </c>
      <c r="C25" s="1376" t="s">
        <v>2341</v>
      </c>
      <c r="D25" s="844">
        <v>80</v>
      </c>
      <c r="E25" s="844">
        <v>61</v>
      </c>
      <c r="F25" s="1484">
        <v>76.25</v>
      </c>
    </row>
    <row r="26" spans="1:6">
      <c r="A26" s="1376">
        <v>12</v>
      </c>
      <c r="B26" s="213" t="s">
        <v>2357</v>
      </c>
      <c r="C26" s="1377" t="s">
        <v>2340</v>
      </c>
      <c r="D26" s="1376">
        <v>32</v>
      </c>
      <c r="E26" s="1376">
        <v>43</v>
      </c>
      <c r="F26" s="1485">
        <v>134.375</v>
      </c>
    </row>
    <row r="27" spans="1:6">
      <c r="A27" s="1376">
        <v>13</v>
      </c>
      <c r="B27" s="213" t="s">
        <v>2358</v>
      </c>
      <c r="C27" s="1377" t="s">
        <v>2340</v>
      </c>
      <c r="D27" s="1376">
        <v>32</v>
      </c>
      <c r="E27" s="1376">
        <v>38</v>
      </c>
      <c r="F27" s="1485">
        <v>118.75</v>
      </c>
    </row>
    <row r="28" spans="1:6">
      <c r="A28" s="1376">
        <v>14</v>
      </c>
      <c r="B28" s="213" t="s">
        <v>2147</v>
      </c>
      <c r="C28" s="1377" t="s">
        <v>2359</v>
      </c>
      <c r="D28" s="1376">
        <v>72</v>
      </c>
      <c r="E28" s="1376">
        <v>62</v>
      </c>
      <c r="F28" s="1485">
        <v>86.111111111111114</v>
      </c>
    </row>
    <row r="29" spans="1:6">
      <c r="A29" s="1376">
        <v>15</v>
      </c>
      <c r="B29" s="213" t="s">
        <v>1656</v>
      </c>
      <c r="C29" s="1377" t="s">
        <v>2341</v>
      </c>
      <c r="D29" s="1376">
        <v>80</v>
      </c>
      <c r="E29" s="1376">
        <v>78</v>
      </c>
      <c r="F29" s="1485">
        <v>97.5</v>
      </c>
    </row>
    <row r="30" spans="1:6">
      <c r="A30" s="1376">
        <v>16</v>
      </c>
      <c r="B30" s="213" t="s">
        <v>1666</v>
      </c>
      <c r="C30" s="1377" t="s">
        <v>2340</v>
      </c>
      <c r="D30" s="1376">
        <v>32</v>
      </c>
      <c r="E30" s="1376">
        <v>32</v>
      </c>
      <c r="F30" s="1485">
        <v>100</v>
      </c>
    </row>
  </sheetData>
  <mergeCells count="2">
    <mergeCell ref="E3:G3"/>
    <mergeCell ref="A1:D1"/>
  </mergeCells>
  <pageMargins left="0.7" right="0.7" top="0.75" bottom="0.75" header="0.3" footer="0.3"/>
  <pageSetup paperSize="9" scale="78"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view="pageBreakPreview" topLeftCell="A47" zoomScale="90" zoomScaleNormal="100" zoomScaleSheetLayoutView="90" workbookViewId="0">
      <selection activeCell="K12" sqref="K12"/>
    </sheetView>
  </sheetViews>
  <sheetFormatPr defaultRowHeight="11.25"/>
  <cols>
    <col min="1" max="1" width="3.85546875" style="1491" bestFit="1" customWidth="1"/>
    <col min="2" max="2" width="16.140625" style="1491" bestFit="1" customWidth="1"/>
    <col min="3" max="3" width="9.85546875" style="1491" customWidth="1"/>
    <col min="4" max="4" width="7.5703125" style="1491" bestFit="1" customWidth="1"/>
    <col min="5" max="5" width="11.42578125" style="1491" bestFit="1" customWidth="1"/>
    <col min="6" max="6" width="18.28515625" style="1491" customWidth="1"/>
    <col min="7" max="7" width="18.140625" style="1491" customWidth="1"/>
    <col min="8" max="8" width="11.85546875" style="1491" customWidth="1"/>
    <col min="9" max="9" width="8.42578125" style="1491" customWidth="1"/>
    <col min="10" max="10" width="11.85546875" style="1491" bestFit="1" customWidth="1"/>
    <col min="11" max="11" width="22.42578125" style="1491" customWidth="1"/>
    <col min="12" max="16384" width="9.140625" style="1491"/>
  </cols>
  <sheetData>
    <row r="1" spans="1:11" ht="18.75">
      <c r="B1"/>
      <c r="C1" s="2464"/>
      <c r="D1" s="2465"/>
      <c r="E1" s="2465"/>
      <c r="F1" s="2465"/>
      <c r="G1" s="2465"/>
      <c r="H1" s="2465"/>
      <c r="I1" s="2465"/>
    </row>
    <row r="2" spans="1:11" ht="15">
      <c r="B2" s="2463" t="s">
        <v>1158</v>
      </c>
      <c r="C2" s="2463"/>
      <c r="D2" s="2463"/>
      <c r="E2" s="2463"/>
      <c r="F2" s="2463"/>
      <c r="G2" s="2463"/>
      <c r="H2" s="2463"/>
      <c r="K2" s="1526" t="s">
        <v>1581</v>
      </c>
    </row>
    <row r="4" spans="1:11" ht="12.75" customHeight="1">
      <c r="A4" s="2466"/>
      <c r="B4" s="2466"/>
      <c r="C4" s="2466"/>
      <c r="D4" s="2466"/>
      <c r="E4" s="2466"/>
      <c r="F4" s="2466"/>
      <c r="G4" s="2466"/>
      <c r="H4" s="2466"/>
      <c r="I4" s="2466"/>
      <c r="J4" s="2466"/>
      <c r="K4" s="1490"/>
    </row>
    <row r="5" spans="1:11" ht="12.75" customHeight="1">
      <c r="A5" s="2466" t="s">
        <v>2362</v>
      </c>
      <c r="B5" s="2466"/>
      <c r="C5" s="2466"/>
      <c r="D5" s="1492"/>
      <c r="E5" s="1492"/>
      <c r="F5" s="1492"/>
      <c r="G5" s="1492"/>
      <c r="H5" s="1492"/>
      <c r="I5" s="1492"/>
      <c r="J5" s="1492"/>
      <c r="K5" s="1490"/>
    </row>
    <row r="6" spans="1:11" ht="11.25" customHeight="1">
      <c r="A6" s="2457" t="s">
        <v>2363</v>
      </c>
      <c r="B6" s="2467" t="s">
        <v>1108</v>
      </c>
      <c r="C6" s="2467"/>
      <c r="D6" s="2467"/>
      <c r="E6" s="2467"/>
      <c r="F6" s="2467"/>
      <c r="G6" s="2467" t="s">
        <v>2364</v>
      </c>
      <c r="H6" s="2467"/>
      <c r="I6" s="2467"/>
      <c r="J6" s="2467"/>
      <c r="K6" s="2467"/>
    </row>
    <row r="7" spans="1:11" ht="33.75">
      <c r="A7" s="2457"/>
      <c r="B7" s="1493" t="s">
        <v>2365</v>
      </c>
      <c r="C7" s="1493" t="s">
        <v>2366</v>
      </c>
      <c r="D7" s="1493" t="s">
        <v>428</v>
      </c>
      <c r="E7" s="1494" t="s">
        <v>2367</v>
      </c>
      <c r="F7" s="1495" t="s">
        <v>298</v>
      </c>
      <c r="G7" s="2467" t="s">
        <v>2365</v>
      </c>
      <c r="H7" s="1493" t="s">
        <v>2366</v>
      </c>
      <c r="I7" s="1493" t="s">
        <v>428</v>
      </c>
      <c r="J7" s="1494" t="s">
        <v>2367</v>
      </c>
      <c r="K7" s="1495" t="s">
        <v>298</v>
      </c>
    </row>
    <row r="8" spans="1:11">
      <c r="A8" s="1494"/>
      <c r="B8" s="1494"/>
      <c r="C8" s="1494"/>
      <c r="D8" s="1494"/>
      <c r="E8" s="1494"/>
      <c r="F8" s="1494"/>
      <c r="G8" s="2467"/>
      <c r="H8" s="1494"/>
      <c r="I8" s="1494"/>
      <c r="J8" s="1494"/>
      <c r="K8" s="728"/>
    </row>
    <row r="9" spans="1:11" ht="22.5">
      <c r="A9" s="1496">
        <v>1</v>
      </c>
      <c r="B9" s="1494" t="s">
        <v>2368</v>
      </c>
      <c r="C9" s="1494"/>
      <c r="D9" s="1494"/>
      <c r="E9" s="1494"/>
      <c r="F9" s="1494"/>
      <c r="G9" s="1497"/>
      <c r="H9" s="1494"/>
      <c r="I9" s="1494"/>
      <c r="J9" s="1494"/>
      <c r="K9" s="728"/>
    </row>
    <row r="10" spans="1:11">
      <c r="A10" s="1494"/>
      <c r="B10" s="1498" t="s">
        <v>1789</v>
      </c>
      <c r="C10" s="1494"/>
      <c r="D10" s="1494"/>
      <c r="E10" s="1494"/>
      <c r="F10" s="1494"/>
      <c r="G10" s="1497"/>
      <c r="H10" s="1494"/>
      <c r="I10" s="1494"/>
      <c r="J10" s="1494"/>
      <c r="K10" s="728"/>
    </row>
    <row r="11" spans="1:11">
      <c r="A11" s="1494"/>
      <c r="B11" s="1498" t="s">
        <v>302</v>
      </c>
      <c r="C11" s="1494"/>
      <c r="D11" s="1494"/>
      <c r="E11" s="1494"/>
      <c r="F11" s="1494"/>
      <c r="G11" s="1497"/>
      <c r="H11" s="1494"/>
      <c r="I11" s="1494"/>
      <c r="J11" s="1494"/>
      <c r="K11" s="728"/>
    </row>
    <row r="12" spans="1:11">
      <c r="A12" s="1494"/>
      <c r="B12" s="1498" t="s">
        <v>303</v>
      </c>
      <c r="C12" s="1494"/>
      <c r="D12" s="1494"/>
      <c r="E12" s="1494"/>
      <c r="F12" s="1494"/>
      <c r="G12" s="1497"/>
      <c r="H12" s="1494"/>
      <c r="I12" s="1494"/>
      <c r="J12" s="1494"/>
      <c r="K12" s="728"/>
    </row>
    <row r="13" spans="1:11">
      <c r="A13" s="1494"/>
      <c r="B13" s="1498" t="s">
        <v>308</v>
      </c>
      <c r="C13" s="1494"/>
      <c r="D13" s="1494"/>
      <c r="E13" s="1494"/>
      <c r="F13" s="1494"/>
      <c r="G13" s="1497"/>
      <c r="H13" s="1494"/>
      <c r="I13" s="1494"/>
      <c r="J13" s="1494"/>
      <c r="K13" s="728"/>
    </row>
    <row r="14" spans="1:11">
      <c r="A14" s="1494"/>
      <c r="B14" s="1498" t="s">
        <v>425</v>
      </c>
      <c r="C14" s="1494"/>
      <c r="D14" s="1494"/>
      <c r="E14" s="1494"/>
      <c r="F14" s="1494"/>
      <c r="G14" s="1497"/>
      <c r="H14" s="1494"/>
      <c r="I14" s="1494"/>
      <c r="J14" s="1494"/>
      <c r="K14" s="728"/>
    </row>
    <row r="15" spans="1:11">
      <c r="A15" s="1494"/>
      <c r="B15" s="1493" t="s">
        <v>68</v>
      </c>
      <c r="C15" s="1493" t="s">
        <v>2369</v>
      </c>
      <c r="D15" s="1493" t="s">
        <v>2369</v>
      </c>
      <c r="E15" s="1493" t="s">
        <v>2369</v>
      </c>
      <c r="F15" s="1493"/>
      <c r="G15" s="1499"/>
      <c r="H15" s="1493" t="s">
        <v>2369</v>
      </c>
      <c r="I15" s="1493" t="s">
        <v>2369</v>
      </c>
      <c r="J15" s="1493" t="s">
        <v>2369</v>
      </c>
      <c r="K15" s="728"/>
    </row>
    <row r="16" spans="1:11">
      <c r="A16" s="1494"/>
      <c r="B16" s="1494"/>
      <c r="C16" s="1494"/>
      <c r="D16" s="1494"/>
      <c r="E16" s="1494"/>
      <c r="F16" s="1494"/>
      <c r="G16" s="1497"/>
      <c r="H16" s="1494"/>
      <c r="I16" s="1494"/>
      <c r="J16" s="1494"/>
      <c r="K16" s="728"/>
    </row>
    <row r="17" spans="1:11" ht="22.5">
      <c r="A17" s="1500">
        <v>2</v>
      </c>
      <c r="B17" s="1494" t="s">
        <v>2370</v>
      </c>
      <c r="C17" s="1494"/>
      <c r="D17" s="1494"/>
      <c r="E17" s="1494"/>
      <c r="F17" s="1494"/>
      <c r="G17" s="1497"/>
      <c r="H17" s="1494"/>
      <c r="I17" s="1494"/>
      <c r="J17" s="1494"/>
      <c r="K17" s="728"/>
    </row>
    <row r="18" spans="1:11" ht="12.75" customHeight="1">
      <c r="A18" s="1500"/>
      <c r="B18" s="2458" t="s">
        <v>2371</v>
      </c>
      <c r="C18" s="2459"/>
      <c r="D18" s="2459"/>
      <c r="E18" s="2459"/>
      <c r="F18" s="2460"/>
      <c r="G18" s="2454" t="s">
        <v>2371</v>
      </c>
      <c r="H18" s="2455"/>
      <c r="I18" s="2455"/>
      <c r="J18" s="2455"/>
      <c r="K18" s="2456"/>
    </row>
    <row r="19" spans="1:11" ht="22.5">
      <c r="A19" s="1500"/>
      <c r="B19" s="1494" t="s">
        <v>2372</v>
      </c>
      <c r="C19" s="1494">
        <v>1</v>
      </c>
      <c r="D19" s="1494">
        <v>2</v>
      </c>
      <c r="E19" s="1494" t="s">
        <v>2373</v>
      </c>
      <c r="F19" s="728" t="s">
        <v>2374</v>
      </c>
      <c r="G19" s="1494" t="s">
        <v>2375</v>
      </c>
      <c r="H19" s="1494">
        <v>1</v>
      </c>
      <c r="I19" s="1494">
        <v>1</v>
      </c>
      <c r="J19" s="1501" t="s">
        <v>2376</v>
      </c>
      <c r="K19" s="728" t="s">
        <v>2377</v>
      </c>
    </row>
    <row r="20" spans="1:11" ht="22.5">
      <c r="A20" s="1500"/>
      <c r="B20" s="1494" t="s">
        <v>2378</v>
      </c>
      <c r="C20" s="1494">
        <v>1</v>
      </c>
      <c r="D20" s="1494">
        <v>1</v>
      </c>
      <c r="E20" s="1494" t="s">
        <v>2379</v>
      </c>
      <c r="F20" s="1494"/>
      <c r="G20" s="1502"/>
      <c r="H20" s="1503"/>
      <c r="I20" s="1503"/>
      <c r="J20" s="1503"/>
      <c r="K20" s="1503"/>
    </row>
    <row r="21" spans="1:11">
      <c r="A21" s="1500"/>
      <c r="B21" s="2458" t="s">
        <v>2380</v>
      </c>
      <c r="C21" s="2459"/>
      <c r="D21" s="2459"/>
      <c r="E21" s="2459"/>
      <c r="F21" s="2460"/>
      <c r="G21" s="2461" t="s">
        <v>2380</v>
      </c>
      <c r="H21" s="2462"/>
      <c r="I21" s="2462"/>
      <c r="J21" s="2462"/>
      <c r="K21" s="2462"/>
    </row>
    <row r="22" spans="1:11" ht="22.5">
      <c r="A22" s="1500"/>
      <c r="B22" s="1494" t="s">
        <v>2381</v>
      </c>
      <c r="C22" s="1494">
        <v>2</v>
      </c>
      <c r="D22" s="1494">
        <v>1</v>
      </c>
      <c r="E22" s="1494" t="s">
        <v>2382</v>
      </c>
      <c r="F22" s="1494"/>
      <c r="G22" s="1494" t="s">
        <v>2378</v>
      </c>
      <c r="H22" s="1494">
        <v>1</v>
      </c>
      <c r="I22" s="1494">
        <v>1</v>
      </c>
      <c r="J22" s="1504" t="s">
        <v>2383</v>
      </c>
      <c r="K22" s="1494" t="s">
        <v>2384</v>
      </c>
    </row>
    <row r="23" spans="1:11" ht="22.5">
      <c r="A23" s="1500"/>
      <c r="B23" s="1494" t="s">
        <v>2385</v>
      </c>
      <c r="C23" s="1494">
        <v>2</v>
      </c>
      <c r="D23" s="1494">
        <v>1</v>
      </c>
      <c r="E23" s="1494" t="s">
        <v>2386</v>
      </c>
      <c r="F23" s="1494"/>
      <c r="G23" s="1494" t="s">
        <v>2381</v>
      </c>
      <c r="H23" s="1494">
        <v>2</v>
      </c>
      <c r="I23" s="1494">
        <v>3</v>
      </c>
      <c r="J23" s="1494" t="s">
        <v>2387</v>
      </c>
      <c r="K23" s="728"/>
    </row>
    <row r="24" spans="1:11" ht="22.5">
      <c r="A24" s="1494"/>
      <c r="B24" s="1498" t="s">
        <v>2388</v>
      </c>
      <c r="C24" s="1494"/>
      <c r="D24" s="1494"/>
      <c r="E24" s="1494"/>
      <c r="F24" s="1494"/>
      <c r="G24" s="1494" t="s">
        <v>2385</v>
      </c>
      <c r="H24" s="1494">
        <v>2</v>
      </c>
      <c r="I24" s="1494">
        <v>3</v>
      </c>
      <c r="J24" s="1494" t="s">
        <v>2389</v>
      </c>
      <c r="K24" s="728"/>
    </row>
    <row r="25" spans="1:11">
      <c r="A25" s="1494"/>
      <c r="B25" s="1502"/>
      <c r="C25" s="1502"/>
      <c r="D25" s="1502"/>
      <c r="E25" s="1502"/>
      <c r="F25" s="1502"/>
      <c r="G25" s="1497"/>
      <c r="H25" s="1494"/>
      <c r="I25" s="1494"/>
      <c r="J25" s="1494"/>
      <c r="K25" s="728"/>
    </row>
    <row r="26" spans="1:11">
      <c r="A26" s="1494"/>
      <c r="B26" s="1498"/>
      <c r="C26" s="1494"/>
      <c r="D26" s="1494"/>
      <c r="E26" s="1494"/>
      <c r="F26" s="1494"/>
      <c r="G26" s="1497"/>
      <c r="H26" s="1494"/>
      <c r="I26" s="1494"/>
      <c r="J26" s="1494"/>
      <c r="K26" s="728"/>
    </row>
    <row r="27" spans="1:11">
      <c r="A27" s="1494"/>
      <c r="B27" s="1498"/>
      <c r="C27" s="1494"/>
      <c r="D27" s="1494"/>
      <c r="E27" s="1494"/>
      <c r="F27" s="1494"/>
      <c r="G27" s="1497"/>
      <c r="H27" s="1494"/>
      <c r="I27" s="1494"/>
      <c r="J27" s="1494"/>
      <c r="K27" s="728"/>
    </row>
    <row r="28" spans="1:11">
      <c r="A28" s="1494"/>
      <c r="B28" s="1498"/>
      <c r="C28" s="1494"/>
      <c r="D28" s="1494"/>
      <c r="E28" s="1494"/>
      <c r="F28" s="1494"/>
      <c r="G28" s="1497"/>
      <c r="H28" s="1494"/>
      <c r="I28" s="1494"/>
      <c r="J28" s="1494"/>
      <c r="K28" s="728"/>
    </row>
    <row r="29" spans="1:11">
      <c r="A29" s="1494"/>
      <c r="B29" s="1493" t="s">
        <v>68</v>
      </c>
      <c r="C29" s="1493" t="s">
        <v>2369</v>
      </c>
      <c r="D29" s="1493" t="s">
        <v>2369</v>
      </c>
      <c r="E29" s="1493" t="s">
        <v>2369</v>
      </c>
      <c r="F29" s="1493"/>
      <c r="G29" s="1499"/>
      <c r="H29" s="1493" t="s">
        <v>2369</v>
      </c>
      <c r="I29" s="1493" t="s">
        <v>2369</v>
      </c>
      <c r="J29" s="1493" t="s">
        <v>2369</v>
      </c>
      <c r="K29" s="728"/>
    </row>
    <row r="30" spans="1:11">
      <c r="A30" s="1494"/>
      <c r="B30" s="1494"/>
      <c r="C30" s="1494"/>
      <c r="D30" s="1494"/>
      <c r="E30" s="1494"/>
      <c r="F30" s="1494"/>
      <c r="G30" s="1497"/>
      <c r="H30" s="1494"/>
      <c r="I30" s="1494"/>
      <c r="J30" s="1494"/>
      <c r="K30" s="728"/>
    </row>
    <row r="31" spans="1:11" ht="22.5">
      <c r="A31" s="1496">
        <v>3</v>
      </c>
      <c r="B31" s="1494" t="s">
        <v>2390</v>
      </c>
      <c r="C31" s="1494"/>
      <c r="D31" s="1494"/>
      <c r="E31" s="1494"/>
      <c r="F31" s="1494"/>
      <c r="G31" s="1497"/>
      <c r="H31" s="1494"/>
      <c r="I31" s="1494"/>
      <c r="J31" s="1494"/>
      <c r="K31" s="728"/>
    </row>
    <row r="32" spans="1:11" ht="45">
      <c r="A32" s="1494"/>
      <c r="B32" s="1494" t="s">
        <v>2391</v>
      </c>
      <c r="C32" s="1494"/>
      <c r="D32" s="1494"/>
      <c r="E32" s="1494"/>
      <c r="F32" s="1494"/>
      <c r="G32" s="1497"/>
      <c r="H32" s="1494"/>
      <c r="I32" s="1494"/>
      <c r="J32" s="1494"/>
      <c r="K32" s="728"/>
    </row>
    <row r="33" spans="1:11">
      <c r="A33" s="1494"/>
      <c r="B33" s="1498" t="s">
        <v>302</v>
      </c>
      <c r="C33" s="1494"/>
      <c r="D33" s="1494"/>
      <c r="E33" s="1494"/>
      <c r="F33" s="1494"/>
      <c r="G33" s="1497"/>
      <c r="H33" s="1494"/>
      <c r="I33" s="1494"/>
      <c r="J33" s="1494"/>
      <c r="K33" s="728"/>
    </row>
    <row r="34" spans="1:11">
      <c r="A34" s="1494"/>
      <c r="B34" s="1498" t="s">
        <v>303</v>
      </c>
      <c r="C34" s="1494"/>
      <c r="D34" s="1494"/>
      <c r="E34" s="1505"/>
      <c r="F34" s="1505"/>
      <c r="G34" s="1497"/>
      <c r="H34" s="1494"/>
      <c r="I34" s="1494"/>
      <c r="J34" s="1494"/>
      <c r="K34" s="728"/>
    </row>
    <row r="35" spans="1:11">
      <c r="A35" s="1494"/>
      <c r="B35" s="1498" t="s">
        <v>308</v>
      </c>
      <c r="C35" s="1494"/>
      <c r="D35" s="1494"/>
      <c r="E35" s="1494"/>
      <c r="F35" s="1494"/>
      <c r="G35" s="1497"/>
      <c r="H35" s="1494"/>
      <c r="I35" s="1494"/>
      <c r="J35" s="1494"/>
      <c r="K35" s="728"/>
    </row>
    <row r="36" spans="1:11">
      <c r="A36" s="1494"/>
      <c r="B36" s="1498" t="s">
        <v>425</v>
      </c>
      <c r="C36" s="1494"/>
      <c r="D36" s="1494"/>
      <c r="E36" s="1494"/>
      <c r="F36" s="1494"/>
      <c r="G36" s="1497"/>
      <c r="H36" s="1494"/>
      <c r="I36" s="1494"/>
      <c r="J36" s="1494"/>
      <c r="K36" s="728"/>
    </row>
    <row r="37" spans="1:11">
      <c r="A37" s="1494"/>
      <c r="B37" s="1493" t="s">
        <v>68</v>
      </c>
      <c r="C37" s="1493" t="s">
        <v>2369</v>
      </c>
      <c r="D37" s="1493" t="s">
        <v>2369</v>
      </c>
      <c r="E37" s="1493" t="s">
        <v>2369</v>
      </c>
      <c r="F37" s="1493"/>
      <c r="G37" s="1499"/>
      <c r="H37" s="1493" t="s">
        <v>2369</v>
      </c>
      <c r="I37" s="1493" t="s">
        <v>2369</v>
      </c>
      <c r="J37" s="1493" t="s">
        <v>2369</v>
      </c>
      <c r="K37" s="728"/>
    </row>
    <row r="38" spans="1:11">
      <c r="A38" s="1494"/>
      <c r="B38" s="1494"/>
      <c r="C38" s="1494"/>
      <c r="D38" s="1494"/>
      <c r="E38" s="1494"/>
      <c r="F38" s="1494"/>
      <c r="G38" s="1497"/>
      <c r="H38" s="1494"/>
      <c r="I38" s="1494"/>
      <c r="J38" s="1494"/>
      <c r="K38" s="728"/>
    </row>
    <row r="39" spans="1:11" ht="22.5">
      <c r="A39" s="1496">
        <v>4</v>
      </c>
      <c r="B39" s="1494" t="s">
        <v>2392</v>
      </c>
      <c r="C39" s="1494"/>
      <c r="D39" s="1494"/>
      <c r="E39" s="1494"/>
      <c r="F39" s="1494"/>
      <c r="G39" s="1494" t="s">
        <v>2392</v>
      </c>
      <c r="H39" s="1494"/>
      <c r="I39" s="1494"/>
      <c r="J39" s="1494"/>
      <c r="K39" s="728"/>
    </row>
    <row r="40" spans="1:11">
      <c r="A40" s="1496"/>
      <c r="B40" s="2458" t="s">
        <v>2393</v>
      </c>
      <c r="C40" s="2459"/>
      <c r="D40" s="2459"/>
      <c r="E40" s="2459"/>
      <c r="F40" s="2460"/>
      <c r="G40" s="2454" t="s">
        <v>2393</v>
      </c>
      <c r="H40" s="2455"/>
      <c r="I40" s="2455"/>
      <c r="J40" s="2455"/>
      <c r="K40" s="2456"/>
    </row>
    <row r="41" spans="1:11" ht="22.5">
      <c r="A41" s="1496"/>
      <c r="B41" s="1494" t="s">
        <v>2394</v>
      </c>
      <c r="C41" s="1494">
        <v>3</v>
      </c>
      <c r="D41" s="1494">
        <v>1</v>
      </c>
      <c r="E41" s="1494" t="s">
        <v>2395</v>
      </c>
      <c r="F41" s="1494" t="s">
        <v>2396</v>
      </c>
      <c r="G41" s="1494" t="s">
        <v>2394</v>
      </c>
      <c r="H41" s="1494">
        <v>3</v>
      </c>
      <c r="I41" s="1494">
        <v>1</v>
      </c>
      <c r="J41" s="728" t="s">
        <v>2397</v>
      </c>
      <c r="K41" s="1506" t="s">
        <v>2398</v>
      </c>
    </row>
    <row r="42" spans="1:11" ht="22.5">
      <c r="A42" s="1496"/>
      <c r="B42" s="1502"/>
      <c r="C42" s="1494"/>
      <c r="D42" s="1494"/>
      <c r="E42" s="1494"/>
      <c r="F42" s="1494"/>
      <c r="G42" s="1494" t="s">
        <v>2399</v>
      </c>
      <c r="H42" s="1494">
        <v>3</v>
      </c>
      <c r="I42" s="1494">
        <v>1</v>
      </c>
      <c r="J42" s="728" t="s">
        <v>2400</v>
      </c>
      <c r="K42" s="1506" t="s">
        <v>2401</v>
      </c>
    </row>
    <row r="43" spans="1:11" ht="33.75">
      <c r="A43" s="1496"/>
      <c r="B43" s="1502"/>
      <c r="C43" s="1502"/>
      <c r="D43" s="1502"/>
      <c r="E43" s="1502"/>
      <c r="F43" s="1502"/>
      <c r="G43" s="1497" t="s">
        <v>2402</v>
      </c>
      <c r="H43" s="1494">
        <v>1</v>
      </c>
      <c r="I43" s="1494">
        <v>1</v>
      </c>
      <c r="J43" s="1507" t="s">
        <v>2403</v>
      </c>
      <c r="K43" s="1506" t="s">
        <v>2404</v>
      </c>
    </row>
    <row r="44" spans="1:11" ht="22.5">
      <c r="A44" s="1496"/>
      <c r="B44" s="1494"/>
      <c r="C44" s="1494"/>
      <c r="D44" s="1494"/>
      <c r="E44" s="1494"/>
      <c r="F44" s="1494"/>
      <c r="G44" s="1497" t="s">
        <v>2405</v>
      </c>
      <c r="H44" s="1494">
        <v>2</v>
      </c>
      <c r="I44" s="1494">
        <v>1</v>
      </c>
      <c r="J44" s="1508" t="s">
        <v>2406</v>
      </c>
      <c r="K44" s="1506" t="s">
        <v>2407</v>
      </c>
    </row>
    <row r="45" spans="1:11" ht="101.25">
      <c r="A45" s="1496"/>
      <c r="B45" s="1494"/>
      <c r="C45" s="1494"/>
      <c r="D45" s="1494"/>
      <c r="E45" s="1494"/>
      <c r="F45" s="1494"/>
      <c r="G45" s="1494" t="s">
        <v>2408</v>
      </c>
      <c r="H45" s="1494">
        <v>1</v>
      </c>
      <c r="I45" s="1494">
        <v>1</v>
      </c>
      <c r="J45" s="1494" t="s">
        <v>2409</v>
      </c>
      <c r="K45" s="1494" t="s">
        <v>2410</v>
      </c>
    </row>
    <row r="46" spans="1:11" ht="22.5">
      <c r="A46" s="1496"/>
      <c r="B46" s="1494"/>
      <c r="C46" s="1494"/>
      <c r="D46" s="1494"/>
      <c r="E46" s="1494"/>
      <c r="F46" s="1494"/>
      <c r="G46" s="1494" t="s">
        <v>2411</v>
      </c>
      <c r="H46" s="1494">
        <v>2</v>
      </c>
      <c r="I46" s="1494">
        <v>1</v>
      </c>
      <c r="J46" s="1494" t="s">
        <v>2412</v>
      </c>
      <c r="K46" s="1494" t="s">
        <v>2413</v>
      </c>
    </row>
    <row r="47" spans="1:11">
      <c r="A47" s="1494"/>
      <c r="B47" s="2451" t="s">
        <v>1690</v>
      </c>
      <c r="C47" s="2452"/>
      <c r="D47" s="2452"/>
      <c r="E47" s="2452"/>
      <c r="F47" s="2453"/>
      <c r="G47" s="2454" t="s">
        <v>1690</v>
      </c>
      <c r="H47" s="2455"/>
      <c r="I47" s="2455"/>
      <c r="J47" s="2455"/>
      <c r="K47" s="2456"/>
    </row>
    <row r="48" spans="1:11" ht="22.5">
      <c r="A48" s="1494"/>
      <c r="B48" s="1498" t="s">
        <v>2414</v>
      </c>
      <c r="C48" s="1494">
        <v>2</v>
      </c>
      <c r="D48" s="1494">
        <v>2</v>
      </c>
      <c r="E48" s="1494" t="s">
        <v>2415</v>
      </c>
      <c r="F48" s="1494"/>
      <c r="G48" s="1498" t="s">
        <v>2414</v>
      </c>
      <c r="H48" s="1494">
        <v>2</v>
      </c>
      <c r="I48" s="1494">
        <v>1</v>
      </c>
      <c r="J48" s="728" t="s">
        <v>2416</v>
      </c>
      <c r="K48" s="1502"/>
    </row>
    <row r="49" spans="1:11" ht="22.5">
      <c r="A49" s="1494"/>
      <c r="B49" s="1502" t="s">
        <v>2417</v>
      </c>
      <c r="C49" s="1494">
        <v>2</v>
      </c>
      <c r="D49" s="1494">
        <v>1</v>
      </c>
      <c r="E49" s="1494" t="s">
        <v>2418</v>
      </c>
      <c r="F49" s="1494"/>
      <c r="G49" s="1498" t="s">
        <v>2419</v>
      </c>
      <c r="H49" s="1494">
        <v>2</v>
      </c>
      <c r="I49" s="1494">
        <v>1</v>
      </c>
      <c r="J49" s="728" t="s">
        <v>2420</v>
      </c>
      <c r="K49" s="1502"/>
    </row>
    <row r="50" spans="1:11" ht="78.75">
      <c r="A50" s="1494"/>
      <c r="B50" s="1506" t="s">
        <v>2421</v>
      </c>
      <c r="C50" s="1502">
        <v>1</v>
      </c>
      <c r="D50" s="1502">
        <v>1</v>
      </c>
      <c r="E50" s="1506" t="s">
        <v>2422</v>
      </c>
      <c r="F50" s="1494" t="s">
        <v>2423</v>
      </c>
      <c r="G50" s="1497" t="s">
        <v>2424</v>
      </c>
      <c r="H50" s="1494">
        <v>1</v>
      </c>
      <c r="I50" s="1494">
        <v>1</v>
      </c>
      <c r="J50" s="1504" t="s">
        <v>2425</v>
      </c>
      <c r="K50" s="1506" t="s">
        <v>2426</v>
      </c>
    </row>
    <row r="51" spans="1:11" ht="22.5">
      <c r="A51" s="1494"/>
      <c r="B51" s="1498" t="s">
        <v>2427</v>
      </c>
      <c r="C51" s="1494">
        <v>2</v>
      </c>
      <c r="D51" s="1494">
        <v>3</v>
      </c>
      <c r="E51" s="1494" t="s">
        <v>2428</v>
      </c>
      <c r="F51" s="1494"/>
      <c r="G51" s="1498" t="s">
        <v>2429</v>
      </c>
      <c r="H51" s="1494">
        <v>3</v>
      </c>
      <c r="I51" s="1494">
        <v>1</v>
      </c>
      <c r="J51" s="1494" t="s">
        <v>2430</v>
      </c>
      <c r="K51" s="728" t="s">
        <v>2431</v>
      </c>
    </row>
    <row r="52" spans="1:11" ht="22.5">
      <c r="A52" s="1494"/>
      <c r="B52" s="1498" t="s">
        <v>2432</v>
      </c>
      <c r="C52" s="1494">
        <v>2</v>
      </c>
      <c r="D52" s="1494">
        <v>3</v>
      </c>
      <c r="E52" s="1494" t="s">
        <v>2433</v>
      </c>
      <c r="F52" s="728" t="s">
        <v>2434</v>
      </c>
      <c r="G52" s="1498" t="s">
        <v>2427</v>
      </c>
      <c r="H52" s="1494">
        <v>2</v>
      </c>
      <c r="I52" s="1494">
        <v>4</v>
      </c>
      <c r="J52" s="1494" t="s">
        <v>2435</v>
      </c>
      <c r="K52" s="1494" t="s">
        <v>2436</v>
      </c>
    </row>
    <row r="53" spans="1:11">
      <c r="A53" s="1494"/>
      <c r="B53" s="1494" t="s">
        <v>2437</v>
      </c>
      <c r="C53" s="1502">
        <v>3</v>
      </c>
      <c r="D53" s="1494">
        <v>3</v>
      </c>
      <c r="E53" s="1494" t="s">
        <v>2438</v>
      </c>
      <c r="F53" s="1494"/>
      <c r="G53" s="1494" t="s">
        <v>2437</v>
      </c>
      <c r="H53" s="1502">
        <v>3</v>
      </c>
      <c r="I53" s="1494">
        <v>1</v>
      </c>
      <c r="J53" s="1494" t="s">
        <v>2439</v>
      </c>
      <c r="K53" s="728"/>
    </row>
    <row r="54" spans="1:11" ht="22.5">
      <c r="A54" s="1494"/>
      <c r="B54" s="1498" t="s">
        <v>2429</v>
      </c>
      <c r="C54" s="1494">
        <v>3</v>
      </c>
      <c r="D54" s="1494">
        <v>3</v>
      </c>
      <c r="E54" s="1494" t="s">
        <v>2440</v>
      </c>
      <c r="F54" s="1494" t="s">
        <v>2441</v>
      </c>
      <c r="G54" s="1494" t="s">
        <v>2442</v>
      </c>
      <c r="H54" s="1494">
        <v>2</v>
      </c>
      <c r="I54" s="1494">
        <v>1</v>
      </c>
      <c r="J54" s="1494" t="s">
        <v>2443</v>
      </c>
      <c r="K54" s="728"/>
    </row>
    <row r="55" spans="1:11">
      <c r="A55" s="1494"/>
      <c r="B55" s="1498" t="s">
        <v>2444</v>
      </c>
      <c r="C55" s="1494">
        <v>1</v>
      </c>
      <c r="D55" s="1494">
        <v>1</v>
      </c>
      <c r="E55" s="1494" t="s">
        <v>2445</v>
      </c>
      <c r="F55" s="1494"/>
      <c r="G55" s="1494"/>
      <c r="H55" s="1494"/>
      <c r="I55" s="1494"/>
      <c r="J55" s="1494"/>
      <c r="K55" s="728"/>
    </row>
    <row r="56" spans="1:11" ht="67.5">
      <c r="A56" s="1494"/>
      <c r="B56" s="1498" t="s">
        <v>2446</v>
      </c>
      <c r="C56" s="1494">
        <v>3</v>
      </c>
      <c r="D56" s="1494">
        <v>1</v>
      </c>
      <c r="E56" s="1494" t="s">
        <v>2447</v>
      </c>
      <c r="F56" s="1494" t="s">
        <v>2448</v>
      </c>
      <c r="G56" s="1498" t="s">
        <v>2446</v>
      </c>
      <c r="H56" s="1494">
        <v>3</v>
      </c>
      <c r="I56" s="1494">
        <v>1</v>
      </c>
      <c r="J56" s="1494" t="s">
        <v>2449</v>
      </c>
      <c r="K56" s="1494" t="s">
        <v>2450</v>
      </c>
    </row>
    <row r="57" spans="1:11">
      <c r="A57" s="1494"/>
      <c r="B57" s="1493" t="s">
        <v>68</v>
      </c>
      <c r="C57" s="1493" t="s">
        <v>2369</v>
      </c>
      <c r="D57" s="1493" t="s">
        <v>2369</v>
      </c>
      <c r="E57" s="1493" t="s">
        <v>2369</v>
      </c>
      <c r="F57" s="1493"/>
      <c r="G57" s="1499"/>
      <c r="H57" s="1493" t="s">
        <v>2369</v>
      </c>
      <c r="I57" s="1493" t="s">
        <v>2369</v>
      </c>
      <c r="J57" s="1493" t="s">
        <v>2369</v>
      </c>
      <c r="K57" s="728"/>
    </row>
    <row r="58" spans="1:11" ht="13.5" customHeight="1">
      <c r="A58" s="2457" t="s">
        <v>2451</v>
      </c>
      <c r="B58" s="2457"/>
      <c r="C58" s="2457"/>
      <c r="D58" s="2457"/>
      <c r="E58" s="2457"/>
      <c r="F58" s="2457"/>
      <c r="G58" s="2457"/>
      <c r="H58" s="2457"/>
      <c r="I58" s="2457"/>
      <c r="J58" s="2457"/>
      <c r="K58" s="2457"/>
    </row>
    <row r="61" spans="1:11" ht="15">
      <c r="J61" s="1527" t="s">
        <v>1097</v>
      </c>
    </row>
  </sheetData>
  <mergeCells count="17">
    <mergeCell ref="B2:H2"/>
    <mergeCell ref="C1:I1"/>
    <mergeCell ref="A4:J4"/>
    <mergeCell ref="A5:C5"/>
    <mergeCell ref="A6:A7"/>
    <mergeCell ref="B6:F6"/>
    <mergeCell ref="G6:K6"/>
    <mergeCell ref="G7:G8"/>
    <mergeCell ref="B47:F47"/>
    <mergeCell ref="G47:K47"/>
    <mergeCell ref="A58:K58"/>
    <mergeCell ref="B18:F18"/>
    <mergeCell ref="G18:K18"/>
    <mergeCell ref="B21:F21"/>
    <mergeCell ref="G21:K21"/>
    <mergeCell ref="B40:F40"/>
    <mergeCell ref="G40:K40"/>
  </mergeCells>
  <pageMargins left="0.7" right="0.7" top="0.75" bottom="0.75" header="0.3" footer="0.3"/>
  <pageSetup scale="85"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pageSetUpPr fitToPage="1"/>
  </sheetPr>
  <dimension ref="A1:Q62"/>
  <sheetViews>
    <sheetView showGridLines="0" view="pageBreakPreview" zoomScale="50" zoomScaleNormal="70" zoomScaleSheetLayoutView="50" workbookViewId="0">
      <pane xSplit="3" ySplit="5" topLeftCell="D35" activePane="bottomRight" state="frozen"/>
      <selection pane="topRight" activeCell="D1" sqref="D1"/>
      <selection pane="bottomLeft" activeCell="A6" sqref="A6"/>
      <selection pane="bottomRight" activeCell="J47" sqref="J47"/>
    </sheetView>
  </sheetViews>
  <sheetFormatPr defaultColWidth="9.140625" defaultRowHeight="15.75"/>
  <cols>
    <col min="1" max="1" width="8.42578125" style="1220" customWidth="1"/>
    <col min="2" max="2" width="58.7109375" style="1226" customWidth="1"/>
    <col min="3" max="3" width="10.42578125" style="1220" customWidth="1"/>
    <col min="4" max="4" width="21" style="1163" customWidth="1"/>
    <col min="5" max="5" width="19.140625" style="1163" customWidth="1"/>
    <col min="6" max="6" width="18.42578125" style="1163" customWidth="1"/>
    <col min="7" max="7" width="18.42578125" style="1163" hidden="1" customWidth="1"/>
    <col min="8" max="8" width="18.85546875" style="1163" hidden="1" customWidth="1"/>
    <col min="9" max="9" width="20" style="1163" customWidth="1"/>
    <col min="10" max="10" width="19.42578125" style="1163" customWidth="1"/>
    <col min="11" max="12" width="19" style="1163" customWidth="1"/>
    <col min="13" max="13" width="14.28515625" style="1163" bestFit="1" customWidth="1"/>
    <col min="14" max="14" width="9.140625" style="1163"/>
    <col min="15" max="15" width="10.5703125" style="1163" bestFit="1" customWidth="1"/>
    <col min="16" max="16" width="9.140625" style="1163"/>
    <col min="17" max="17" width="10.5703125" style="1163" bestFit="1" customWidth="1"/>
    <col min="18" max="16384" width="9.140625" style="1163"/>
  </cols>
  <sheetData>
    <row r="1" spans="1:12" ht="21" customHeight="1">
      <c r="A1" s="1786" t="s">
        <v>1158</v>
      </c>
      <c r="B1" s="1787"/>
      <c r="C1" s="1787"/>
      <c r="D1" s="1787"/>
      <c r="E1" s="1787"/>
      <c r="F1" s="1787"/>
      <c r="G1" s="1787"/>
      <c r="H1" s="1787"/>
      <c r="I1" s="1787"/>
      <c r="J1" s="1787"/>
      <c r="K1" s="1787"/>
      <c r="L1" s="1787"/>
    </row>
    <row r="2" spans="1:12" ht="21" customHeight="1">
      <c r="A2" s="1785" t="s">
        <v>863</v>
      </c>
      <c r="B2" s="1785"/>
      <c r="C2" s="1785"/>
      <c r="D2" s="1164"/>
      <c r="E2" s="1164"/>
      <c r="F2" s="1164"/>
      <c r="G2" s="1164"/>
      <c r="H2" s="1164"/>
      <c r="I2" s="1164"/>
      <c r="J2" s="1164"/>
      <c r="K2" s="1165" t="s">
        <v>145</v>
      </c>
      <c r="L2" s="1164"/>
    </row>
    <row r="3" spans="1:12" ht="21" customHeight="1">
      <c r="A3" s="1166"/>
      <c r="B3" s="1167"/>
      <c r="C3" s="1166"/>
      <c r="D3" s="1794" t="s">
        <v>1254</v>
      </c>
      <c r="E3" s="1794"/>
      <c r="F3" s="1794"/>
      <c r="G3" s="1794"/>
      <c r="H3" s="1794"/>
      <c r="I3" s="1794"/>
      <c r="J3" s="1794"/>
      <c r="K3" s="1794"/>
      <c r="L3" s="1794"/>
    </row>
    <row r="4" spans="1:12" ht="45" customHeight="1">
      <c r="A4" s="1790"/>
      <c r="B4" s="1792" t="s">
        <v>48</v>
      </c>
      <c r="C4" s="1800" t="s">
        <v>1162</v>
      </c>
      <c r="D4" s="1802" t="s">
        <v>1846</v>
      </c>
      <c r="E4" s="1803"/>
      <c r="F4" s="1804" t="s">
        <v>1847</v>
      </c>
      <c r="G4" s="1805"/>
      <c r="H4" s="1805"/>
      <c r="I4" s="1806"/>
      <c r="J4" s="1802" t="s">
        <v>1871</v>
      </c>
      <c r="K4" s="1808"/>
      <c r="L4" s="1803"/>
    </row>
    <row r="5" spans="1:12" ht="60.75">
      <c r="A5" s="1791"/>
      <c r="B5" s="1793"/>
      <c r="C5" s="1801"/>
      <c r="D5" s="1168" t="s">
        <v>1160</v>
      </c>
      <c r="E5" s="1169" t="s">
        <v>1161</v>
      </c>
      <c r="F5" s="1168" t="s">
        <v>1160</v>
      </c>
      <c r="G5" s="1170" t="s">
        <v>1163</v>
      </c>
      <c r="H5" s="1168" t="s">
        <v>1164</v>
      </c>
      <c r="I5" s="1168" t="s">
        <v>1849</v>
      </c>
      <c r="J5" s="1171" t="s">
        <v>1841</v>
      </c>
      <c r="K5" s="1171" t="s">
        <v>1842</v>
      </c>
      <c r="L5" s="1171" t="s">
        <v>1843</v>
      </c>
    </row>
    <row r="6" spans="1:12" ht="21" hidden="1">
      <c r="A6" s="1172" t="s">
        <v>49</v>
      </c>
      <c r="B6" s="1173" t="s">
        <v>50</v>
      </c>
      <c r="C6" s="1174"/>
      <c r="D6" s="1175"/>
      <c r="E6" s="1176"/>
      <c r="F6" s="1176"/>
      <c r="G6" s="1176"/>
      <c r="H6" s="1176"/>
      <c r="I6" s="1176"/>
      <c r="J6" s="1176"/>
      <c r="K6" s="1176"/>
      <c r="L6" s="1176"/>
    </row>
    <row r="7" spans="1:12" ht="21" hidden="1">
      <c r="A7" s="1172" t="s">
        <v>51</v>
      </c>
      <c r="B7" s="1173" t="s">
        <v>52</v>
      </c>
      <c r="C7" s="1177" t="s">
        <v>96</v>
      </c>
      <c r="D7" s="1175"/>
      <c r="E7" s="1178"/>
      <c r="F7" s="1178"/>
      <c r="G7" s="1178"/>
      <c r="H7" s="1178"/>
      <c r="I7" s="1179"/>
      <c r="J7" s="1179"/>
      <c r="K7" s="1179"/>
      <c r="L7" s="1179"/>
    </row>
    <row r="8" spans="1:12" ht="21" hidden="1">
      <c r="A8" s="1172" t="s">
        <v>53</v>
      </c>
      <c r="B8" s="1173" t="s">
        <v>54</v>
      </c>
      <c r="C8" s="1177"/>
      <c r="D8" s="1180"/>
      <c r="E8" s="1181"/>
      <c r="F8" s="1181"/>
      <c r="G8" s="1181"/>
      <c r="H8" s="1181"/>
      <c r="I8" s="1181"/>
      <c r="J8" s="1181"/>
      <c r="K8" s="1181"/>
      <c r="L8" s="1181"/>
    </row>
    <row r="9" spans="1:12" ht="21" hidden="1">
      <c r="A9" s="1172" t="s">
        <v>55</v>
      </c>
      <c r="B9" s="1173" t="s">
        <v>56</v>
      </c>
      <c r="C9" s="1177"/>
      <c r="D9" s="1182"/>
      <c r="E9" s="1183"/>
      <c r="F9" s="1183"/>
      <c r="G9" s="1183"/>
      <c r="H9" s="1183"/>
      <c r="I9" s="1183"/>
      <c r="J9" s="1183"/>
      <c r="K9" s="1183"/>
      <c r="L9" s="1183"/>
    </row>
    <row r="10" spans="1:12" ht="40.5" hidden="1">
      <c r="A10" s="1172" t="s">
        <v>57</v>
      </c>
      <c r="B10" s="1184" t="s">
        <v>58</v>
      </c>
      <c r="C10" s="1174"/>
      <c r="D10" s="1185"/>
      <c r="E10" s="1179"/>
      <c r="F10" s="1179"/>
      <c r="G10" s="1179"/>
      <c r="H10" s="1179"/>
      <c r="I10" s="1179"/>
      <c r="J10" s="1179"/>
      <c r="K10" s="1179"/>
      <c r="L10" s="1179"/>
    </row>
    <row r="11" spans="1:12" ht="21" hidden="1">
      <c r="A11" s="1172" t="s">
        <v>59</v>
      </c>
      <c r="B11" s="1173" t="s">
        <v>60</v>
      </c>
      <c r="C11" s="1174"/>
      <c r="D11" s="1185"/>
      <c r="E11" s="1186"/>
      <c r="F11" s="1186"/>
      <c r="G11" s="1186"/>
      <c r="H11" s="1186"/>
      <c r="I11" s="1186"/>
      <c r="J11" s="1186"/>
      <c r="K11" s="1186"/>
      <c r="L11" s="1186"/>
    </row>
    <row r="12" spans="1:12" ht="40.5" hidden="1">
      <c r="A12" s="1172" t="s">
        <v>61</v>
      </c>
      <c r="B12" s="1173" t="s">
        <v>62</v>
      </c>
      <c r="C12" s="1174"/>
      <c r="D12" s="1185"/>
      <c r="E12" s="1185"/>
      <c r="F12" s="1185"/>
      <c r="G12" s="1185"/>
      <c r="H12" s="1185"/>
      <c r="I12" s="1175"/>
      <c r="J12" s="1175"/>
      <c r="K12" s="1187"/>
      <c r="L12" s="1187"/>
    </row>
    <row r="13" spans="1:12" ht="40.5">
      <c r="A13" s="1172" t="s">
        <v>306</v>
      </c>
      <c r="B13" s="1188" t="s">
        <v>307</v>
      </c>
      <c r="C13" s="1174"/>
      <c r="D13" s="1175"/>
      <c r="E13" s="1175"/>
      <c r="F13" s="1175"/>
      <c r="G13" s="1175"/>
      <c r="H13" s="1175"/>
      <c r="I13" s="1175"/>
      <c r="J13" s="1175"/>
      <c r="K13" s="1187"/>
      <c r="L13" s="1187"/>
    </row>
    <row r="14" spans="1:12" ht="20.25">
      <c r="A14" s="1169">
        <v>1</v>
      </c>
      <c r="B14" s="1188" t="s">
        <v>63</v>
      </c>
      <c r="C14" s="1169"/>
      <c r="D14" s="1189"/>
      <c r="E14" s="1189"/>
      <c r="F14" s="1189"/>
      <c r="G14" s="1189"/>
      <c r="H14" s="1189"/>
      <c r="I14" s="1189"/>
      <c r="J14" s="1189"/>
      <c r="K14" s="1187"/>
      <c r="L14" s="1187"/>
    </row>
    <row r="15" spans="1:12" ht="40.5">
      <c r="A15" s="1169" t="s">
        <v>64</v>
      </c>
      <c r="B15" s="1190" t="s">
        <v>318</v>
      </c>
      <c r="C15" s="1191" t="s">
        <v>99</v>
      </c>
      <c r="D15" s="1192">
        <f>'F4'!C18</f>
        <v>1292.18</v>
      </c>
      <c r="E15" s="1192">
        <f>'F4'!D18</f>
        <v>870.89999980000005</v>
      </c>
      <c r="F15" s="1192">
        <f>'F4'!E18</f>
        <v>1130.68</v>
      </c>
      <c r="G15" s="1192">
        <f>'F4'!F18</f>
        <v>0</v>
      </c>
      <c r="H15" s="1192">
        <f>'F4'!G18</f>
        <v>0</v>
      </c>
      <c r="I15" s="1192">
        <f>'F4'!H18</f>
        <v>1130.6800000000003</v>
      </c>
      <c r="J15" s="1192">
        <f ca="1">'F4'!I18</f>
        <v>1487.6939783528856</v>
      </c>
      <c r="K15" s="1192">
        <f ca="1">'F4'!J18</f>
        <v>1714.6685083300551</v>
      </c>
      <c r="L15" s="1192">
        <f ca="1">'F4'!K18</f>
        <v>1973.8358435319547</v>
      </c>
    </row>
    <row r="16" spans="1:12" ht="21" thickBot="1">
      <c r="A16" s="1169" t="s">
        <v>65</v>
      </c>
      <c r="B16" s="1193" t="s">
        <v>67</v>
      </c>
      <c r="C16" s="1194"/>
      <c r="D16" s="1195">
        <v>0</v>
      </c>
      <c r="E16" s="1195">
        <v>0</v>
      </c>
      <c r="F16" s="1195">
        <v>0</v>
      </c>
      <c r="G16" s="1195">
        <v>0</v>
      </c>
      <c r="H16" s="1195">
        <v>0</v>
      </c>
      <c r="I16" s="1195">
        <v>0</v>
      </c>
      <c r="J16" s="1195">
        <v>0</v>
      </c>
      <c r="K16" s="1195">
        <v>0</v>
      </c>
      <c r="L16" s="1195">
        <v>0</v>
      </c>
    </row>
    <row r="17" spans="1:17" ht="21" thickBot="1">
      <c r="A17" s="1169"/>
      <c r="B17" s="1196" t="s">
        <v>310</v>
      </c>
      <c r="C17" s="1197"/>
      <c r="D17" s="1198">
        <f>D15+D16</f>
        <v>1292.18</v>
      </c>
      <c r="E17" s="1198">
        <f t="shared" ref="E17:L17" si="0">E15+E16</f>
        <v>870.89999980000005</v>
      </c>
      <c r="F17" s="1198">
        <f t="shared" si="0"/>
        <v>1130.68</v>
      </c>
      <c r="G17" s="1198">
        <f t="shared" si="0"/>
        <v>0</v>
      </c>
      <c r="H17" s="1198">
        <f t="shared" si="0"/>
        <v>0</v>
      </c>
      <c r="I17" s="1198">
        <f t="shared" si="0"/>
        <v>1130.6800000000003</v>
      </c>
      <c r="J17" s="1198">
        <f t="shared" ca="1" si="0"/>
        <v>1487.6939783528856</v>
      </c>
      <c r="K17" s="1198">
        <f t="shared" ca="1" si="0"/>
        <v>1714.6685083300551</v>
      </c>
      <c r="L17" s="1198">
        <f t="shared" ca="1" si="0"/>
        <v>1973.8358435319547</v>
      </c>
    </row>
    <row r="18" spans="1:17" ht="20.25">
      <c r="A18" s="1169" t="s">
        <v>142</v>
      </c>
      <c r="B18" s="1188" t="s">
        <v>69</v>
      </c>
      <c r="C18" s="1169"/>
      <c r="D18" s="1175"/>
      <c r="E18" s="1175"/>
      <c r="F18" s="1175"/>
      <c r="G18" s="1175"/>
      <c r="H18" s="1175"/>
      <c r="I18" s="1175"/>
      <c r="J18" s="1175"/>
      <c r="K18" s="1187"/>
      <c r="L18" s="1187"/>
    </row>
    <row r="19" spans="1:17" ht="20.25">
      <c r="A19" s="1169">
        <v>1</v>
      </c>
      <c r="B19" s="1188" t="s">
        <v>301</v>
      </c>
      <c r="C19" s="1169"/>
      <c r="D19" s="1175"/>
      <c r="E19" s="1175"/>
      <c r="F19" s="1175"/>
      <c r="G19" s="1175"/>
      <c r="H19" s="1175"/>
      <c r="I19" s="1175"/>
      <c r="J19" s="1175"/>
      <c r="K19" s="1187"/>
      <c r="L19" s="1187"/>
    </row>
    <row r="20" spans="1:17" ht="20.25">
      <c r="A20" s="1169" t="s">
        <v>302</v>
      </c>
      <c r="B20" s="1190" t="s">
        <v>251</v>
      </c>
      <c r="C20" s="1191"/>
      <c r="D20" s="1192">
        <f>'F13'!C7</f>
        <v>193.04623591720511</v>
      </c>
      <c r="E20" s="1192">
        <f>'F13'!D7</f>
        <v>181.00853521921925</v>
      </c>
      <c r="F20" s="1192">
        <f>'F13'!E7</f>
        <v>203.28547756760003</v>
      </c>
      <c r="G20" s="1192">
        <f>'F13'!F7</f>
        <v>0</v>
      </c>
      <c r="H20" s="1192">
        <f>'F13'!G7</f>
        <v>0</v>
      </c>
      <c r="I20" s="1192">
        <f>'F13'!H7</f>
        <v>200.07128251266437</v>
      </c>
      <c r="J20" s="1192">
        <f>'F13'!I7</f>
        <v>226.22857750689752</v>
      </c>
      <c r="K20" s="1192">
        <f>'F13'!J7</f>
        <v>252.64190648925509</v>
      </c>
      <c r="L20" s="1192">
        <f>'F13'!K7</f>
        <v>285.05993943634553</v>
      </c>
    </row>
    <row r="21" spans="1:17" ht="20.25">
      <c r="A21" s="1169" t="s">
        <v>303</v>
      </c>
      <c r="B21" s="1190" t="s">
        <v>70</v>
      </c>
      <c r="C21" s="1191"/>
      <c r="D21" s="1192">
        <f>'F13'!C6</f>
        <v>103.07752799999999</v>
      </c>
      <c r="E21" s="1192">
        <f>'F13'!D6</f>
        <v>109.02610352608558</v>
      </c>
      <c r="F21" s="1192">
        <f>'F13'!E6</f>
        <v>129.28391199999999</v>
      </c>
      <c r="G21" s="1192">
        <f>'F13'!F6</f>
        <v>0</v>
      </c>
      <c r="H21" s="1192">
        <f>'F13'!G6</f>
        <v>0</v>
      </c>
      <c r="I21" s="1192">
        <f>'F13'!H6</f>
        <v>118.36058441784557</v>
      </c>
      <c r="J21" s="1192">
        <f>'F13'!I6</f>
        <v>62.693075297664002</v>
      </c>
      <c r="K21" s="1192">
        <f>'F13'!J6</f>
        <v>72.116142278050546</v>
      </c>
      <c r="L21" s="1192">
        <f>'F13'!K6</f>
        <v>82.723118375977734</v>
      </c>
    </row>
    <row r="22" spans="1:17" ht="20.25">
      <c r="A22" s="1169" t="s">
        <v>308</v>
      </c>
      <c r="B22" s="1190" t="s">
        <v>71</v>
      </c>
      <c r="C22" s="1191"/>
      <c r="D22" s="1192">
        <f>'F13'!C8</f>
        <v>44.641063999999993</v>
      </c>
      <c r="E22" s="1192">
        <f>'F13'!D8</f>
        <v>43.966289359157621</v>
      </c>
      <c r="F22" s="1192">
        <f>'F13'!E8</f>
        <v>45.78</v>
      </c>
      <c r="G22" s="1192">
        <f>'F13'!F8</f>
        <v>0</v>
      </c>
      <c r="H22" s="1192">
        <f>'F13'!G8</f>
        <v>0</v>
      </c>
      <c r="I22" s="1192">
        <f>'F13'!H8</f>
        <v>45.916448693165435</v>
      </c>
      <c r="J22" s="1192">
        <f>'F13'!I8</f>
        <v>80.119684150110402</v>
      </c>
      <c r="K22" s="1192">
        <f>'F13'!J8</f>
        <v>84.209540482498568</v>
      </c>
      <c r="L22" s="1192">
        <f>'F13'!K8</f>
        <v>89.150002155242419</v>
      </c>
    </row>
    <row r="23" spans="1:17" ht="20.25">
      <c r="A23" s="1169" t="s">
        <v>620</v>
      </c>
      <c r="B23" s="1190" t="s">
        <v>618</v>
      </c>
      <c r="C23" s="1191"/>
      <c r="D23" s="1192">
        <f>'F13'!C9</f>
        <v>12.96</v>
      </c>
      <c r="E23" s="1192">
        <f>'F13'!D9</f>
        <v>11.437299851000001</v>
      </c>
      <c r="F23" s="1192">
        <f>'F13'!E9</f>
        <v>11.96</v>
      </c>
      <c r="G23" s="1192">
        <f>'F13'!F9</f>
        <v>0</v>
      </c>
      <c r="H23" s="1192">
        <f>'F13'!G9</f>
        <v>0</v>
      </c>
      <c r="I23" s="1192">
        <f>'F13'!H9</f>
        <v>11.437299851000001</v>
      </c>
      <c r="J23" s="1192">
        <f>'F13'!I9</f>
        <v>11.437299851000001</v>
      </c>
      <c r="K23" s="1192">
        <f>'F13'!J9</f>
        <v>11.437299851000001</v>
      </c>
      <c r="L23" s="1192">
        <f>'F13'!K9</f>
        <v>11.437299851000001</v>
      </c>
    </row>
    <row r="24" spans="1:17" ht="20.25">
      <c r="A24" s="1169"/>
      <c r="B24" s="1190" t="s">
        <v>619</v>
      </c>
      <c r="C24" s="1191"/>
      <c r="D24" s="1199">
        <f>SUM(D20:D23)</f>
        <v>353.72482791720506</v>
      </c>
      <c r="E24" s="1199">
        <f t="shared" ref="E24:L24" si="1">SUM(E20:E23)</f>
        <v>345.43822795546242</v>
      </c>
      <c r="F24" s="1199">
        <f t="shared" si="1"/>
        <v>390.30938956760002</v>
      </c>
      <c r="G24" s="1199">
        <f t="shared" si="1"/>
        <v>0</v>
      </c>
      <c r="H24" s="1199">
        <f t="shared" si="1"/>
        <v>0</v>
      </c>
      <c r="I24" s="1199">
        <f t="shared" si="1"/>
        <v>375.78561547467535</v>
      </c>
      <c r="J24" s="1199">
        <f t="shared" ref="J24" si="2">SUM(J20:J23)</f>
        <v>380.4786368056719</v>
      </c>
      <c r="K24" s="1199">
        <f t="shared" si="1"/>
        <v>420.40488910080416</v>
      </c>
      <c r="L24" s="1199">
        <f t="shared" si="1"/>
        <v>468.37035981856565</v>
      </c>
    </row>
    <row r="25" spans="1:17" ht="20.25">
      <c r="A25" s="1169">
        <v>2</v>
      </c>
      <c r="B25" s="1190" t="s">
        <v>89</v>
      </c>
      <c r="C25" s="1191"/>
      <c r="D25" s="1200">
        <f>'F10'!C40</f>
        <v>338.38055381170483</v>
      </c>
      <c r="E25" s="1200">
        <f>'F10'!D40</f>
        <v>227.82510178363708</v>
      </c>
      <c r="F25" s="1200">
        <f>'F10'!E40</f>
        <v>271.34981218950685</v>
      </c>
      <c r="G25" s="1200">
        <f>'F10'!F40</f>
        <v>0</v>
      </c>
      <c r="H25" s="1200">
        <f>'F10'!G40</f>
        <v>0</v>
      </c>
      <c r="I25" s="1200">
        <f>'F10'!H40</f>
        <v>253.39411601032378</v>
      </c>
      <c r="J25" s="1200">
        <f>'F10'!I40</f>
        <v>285.2403908274714</v>
      </c>
      <c r="K25" s="1200">
        <f>'F10'!J40</f>
        <v>323.69687873472174</v>
      </c>
      <c r="L25" s="1200">
        <f>'F10'!K40</f>
        <v>367.40334217016192</v>
      </c>
      <c r="O25" s="1236">
        <f>J25+K25+L25</f>
        <v>976.340611732355</v>
      </c>
      <c r="Q25" s="1163">
        <f>576.59+523.08+453.56</f>
        <v>1553.23</v>
      </c>
    </row>
    <row r="26" spans="1:17" ht="20.25">
      <c r="A26" s="1169">
        <f>+A25+1</f>
        <v>3</v>
      </c>
      <c r="B26" s="1190" t="s">
        <v>72</v>
      </c>
      <c r="C26" s="1191"/>
      <c r="D26" s="1201">
        <f>'F7-2'!C58</f>
        <v>330.48</v>
      </c>
      <c r="E26" s="1201">
        <f>'F7-2'!D60</f>
        <v>354.26703555861457</v>
      </c>
      <c r="F26" s="1201">
        <f>'F7-2'!E60</f>
        <v>456.82178199999998</v>
      </c>
      <c r="G26" s="1201" t="e">
        <f>'F7-2'!#REF!</f>
        <v>#REF!</v>
      </c>
      <c r="H26" s="1201" t="e">
        <f>'F7-2'!#REF!</f>
        <v>#REF!</v>
      </c>
      <c r="I26" s="1201">
        <f>'F7-2'!F60</f>
        <v>413.52079389946869</v>
      </c>
      <c r="J26" s="1201">
        <f>'F7-2'!G60</f>
        <v>488.28218410574107</v>
      </c>
      <c r="K26" s="1201">
        <f>'F7-2'!H60</f>
        <v>577.09452950466289</v>
      </c>
      <c r="L26" s="1201">
        <f>'F7-2'!I60</f>
        <v>676.34901130002538</v>
      </c>
      <c r="Q26" s="1236">
        <f>Q25-O25</f>
        <v>576.88938826764502</v>
      </c>
    </row>
    <row r="27" spans="1:17" ht="40.5">
      <c r="A27" s="1169">
        <f>+A26+1</f>
        <v>4</v>
      </c>
      <c r="B27" s="1190" t="s">
        <v>621</v>
      </c>
      <c r="C27" s="1191"/>
      <c r="D27" s="1201">
        <f>Interest!C19</f>
        <v>390.203125</v>
      </c>
      <c r="E27" s="1201">
        <f>Interest!D19</f>
        <v>328.729290047701</v>
      </c>
      <c r="F27" s="1201">
        <f>Interest!E19</f>
        <v>418.11070509719997</v>
      </c>
      <c r="G27" s="1201">
        <f>Interest!F19</f>
        <v>0</v>
      </c>
      <c r="H27" s="1201">
        <f>Interest!G19</f>
        <v>0</v>
      </c>
      <c r="I27" s="1201">
        <f>Interest!H19</f>
        <v>330.46501208369176</v>
      </c>
      <c r="J27" s="1201">
        <f>Interest!I19</f>
        <v>379.58336576686173</v>
      </c>
      <c r="K27" s="1201">
        <f>Interest!J19</f>
        <v>439.67253052154427</v>
      </c>
      <c r="L27" s="1201">
        <f>Interest!K19</f>
        <v>507.94567630758615</v>
      </c>
      <c r="Q27" s="1236">
        <f>Q26/3</f>
        <v>192.29646275588166</v>
      </c>
    </row>
    <row r="28" spans="1:17" ht="20.25">
      <c r="A28" s="1169"/>
      <c r="B28" s="1190" t="s">
        <v>551</v>
      </c>
      <c r="C28" s="1191"/>
      <c r="D28" s="1189">
        <f>'F7-2'!C37</f>
        <v>0</v>
      </c>
      <c r="E28" s="1189"/>
      <c r="F28" s="1189"/>
      <c r="G28" s="1189"/>
      <c r="H28" s="1189"/>
      <c r="I28" s="1189"/>
      <c r="J28" s="1189"/>
      <c r="K28" s="1187"/>
      <c r="L28" s="1187"/>
    </row>
    <row r="29" spans="1:17" ht="20.25">
      <c r="A29" s="1169">
        <f>+A27+1</f>
        <v>5</v>
      </c>
      <c r="B29" s="1190" t="s">
        <v>1563</v>
      </c>
      <c r="C29" s="1191"/>
      <c r="D29" s="1192">
        <f>'F19'!C12</f>
        <v>13.08959435214423</v>
      </c>
      <c r="E29" s="1192">
        <f ca="1">'F19'!D12</f>
        <v>11.771482246147199</v>
      </c>
      <c r="F29" s="1192">
        <f>'F19'!E12</f>
        <v>13.284739318168063</v>
      </c>
      <c r="G29" s="1192">
        <f>'F19'!F12</f>
        <v>0</v>
      </c>
      <c r="H29" s="1192">
        <f>'F19'!G12</f>
        <v>0</v>
      </c>
      <c r="I29" s="1192">
        <f ca="1">'F19'!H12</f>
        <v>12.353561595493185</v>
      </c>
      <c r="J29" s="1192">
        <f ca="1">'F19'!I12</f>
        <v>19.907446547326924</v>
      </c>
      <c r="K29" s="1192">
        <f ca="1">'F19'!J12</f>
        <v>22.887628453519063</v>
      </c>
      <c r="L29" s="1192">
        <f ca="1">'F19'!K12</f>
        <v>26.309799320072177</v>
      </c>
    </row>
    <row r="30" spans="1:17" ht="40.5">
      <c r="A30" s="1169">
        <f>+A29+1</f>
        <v>6</v>
      </c>
      <c r="B30" s="1190" t="s">
        <v>552</v>
      </c>
      <c r="C30" s="1191"/>
      <c r="D30" s="1189"/>
      <c r="E30" s="1189"/>
      <c r="F30" s="1189"/>
      <c r="G30" s="1189"/>
      <c r="H30" s="1189"/>
      <c r="I30" s="1192"/>
      <c r="J30" s="1202"/>
      <c r="K30" s="1203"/>
      <c r="L30" s="1192"/>
    </row>
    <row r="31" spans="1:17" ht="40.5">
      <c r="A31" s="1204">
        <v>7</v>
      </c>
      <c r="B31" s="1190" t="s">
        <v>2212</v>
      </c>
      <c r="C31" s="1191"/>
      <c r="D31" s="1189"/>
      <c r="E31" s="1201">
        <f ca="1">Incentive!D23</f>
        <v>7.4445232033846978</v>
      </c>
      <c r="F31" s="1189"/>
      <c r="G31" s="1189"/>
      <c r="H31" s="1189"/>
      <c r="I31" s="1189"/>
      <c r="J31" s="1189"/>
      <c r="K31" s="1187"/>
      <c r="L31" s="1187"/>
    </row>
    <row r="32" spans="1:17" ht="20.25">
      <c r="A32" s="1204">
        <v>8</v>
      </c>
      <c r="B32" s="1190" t="s">
        <v>2213</v>
      </c>
      <c r="C32" s="1191"/>
      <c r="D32" s="1189"/>
      <c r="E32" s="1201">
        <f ca="1">Incentive!D30</f>
        <v>12.091317142051214</v>
      </c>
      <c r="F32" s="1189"/>
      <c r="G32" s="1189"/>
      <c r="H32" s="1189"/>
      <c r="I32" s="1189"/>
      <c r="J32" s="1189"/>
      <c r="K32" s="1187"/>
      <c r="L32" s="1187"/>
    </row>
    <row r="33" spans="1:14" ht="40.5">
      <c r="A33" s="1204">
        <f>+A30+1</f>
        <v>7</v>
      </c>
      <c r="B33" s="1190" t="s">
        <v>2214</v>
      </c>
      <c r="C33" s="1191"/>
      <c r="D33" s="1189"/>
      <c r="E33" s="1201">
        <f>-'Sharing of Gains-Losses'!E11</f>
        <v>2.1170517375125164</v>
      </c>
      <c r="F33" s="1189"/>
      <c r="G33" s="1189"/>
      <c r="H33" s="1189"/>
      <c r="I33" s="1189"/>
      <c r="J33" s="1189"/>
      <c r="K33" s="1187"/>
      <c r="L33" s="1192"/>
    </row>
    <row r="34" spans="1:14" ht="40.5">
      <c r="A34" s="1204">
        <v>8</v>
      </c>
      <c r="B34" s="1190" t="s">
        <v>2215</v>
      </c>
      <c r="C34" s="1191"/>
      <c r="D34" s="1189"/>
      <c r="E34" s="1201">
        <f ca="1">-'Sharing of Gains-Losses'!E20</f>
        <v>-7.8476548307647995</v>
      </c>
      <c r="F34" s="1189"/>
      <c r="G34" s="1189"/>
      <c r="H34" s="1189"/>
      <c r="I34" s="1189"/>
      <c r="J34" s="1189"/>
      <c r="K34" s="1187"/>
      <c r="L34" s="1192"/>
    </row>
    <row r="35" spans="1:14" ht="60.75">
      <c r="A35" s="1204">
        <v>9</v>
      </c>
      <c r="B35" s="1190" t="s">
        <v>2216</v>
      </c>
      <c r="C35" s="1191"/>
      <c r="D35" s="1189"/>
      <c r="E35" s="1201">
        <f ca="1">-'Sharing of Gains-Losses'!E27</f>
        <v>-8.0608780947008096</v>
      </c>
      <c r="F35" s="1189"/>
      <c r="G35" s="1189"/>
      <c r="H35" s="1189"/>
      <c r="I35" s="1189"/>
      <c r="J35" s="1189"/>
      <c r="K35" s="1187"/>
      <c r="L35" s="1192"/>
    </row>
    <row r="36" spans="1:14" ht="60.75">
      <c r="A36" s="1204">
        <v>10</v>
      </c>
      <c r="B36" s="1190" t="s">
        <v>2217</v>
      </c>
      <c r="C36" s="1191"/>
      <c r="D36" s="1189"/>
      <c r="E36" s="1192">
        <f ca="1">-'Sharing of Gains-Losses'!E34</f>
        <v>-4.9630154689231318</v>
      </c>
      <c r="F36" s="1189"/>
      <c r="G36" s="1189"/>
      <c r="H36" s="1189"/>
      <c r="I36" s="1189"/>
      <c r="J36" s="1189"/>
      <c r="K36" s="1187"/>
      <c r="L36" s="1187"/>
    </row>
    <row r="37" spans="1:14" ht="21" thickBot="1">
      <c r="A37" s="1204"/>
      <c r="B37" s="1205" t="s">
        <v>311</v>
      </c>
      <c r="C37" s="1206"/>
      <c r="D37" s="1207">
        <f>SUM(D24:D27,D29:D36)-D28</f>
        <v>1425.8781010810542</v>
      </c>
      <c r="E37" s="1207">
        <f ca="1">SUM(E24:E27,E29:E36)-E28</f>
        <v>1268.8124812801216</v>
      </c>
      <c r="F37" s="1207">
        <f>SUM(F24:F27,F29:F36)-F28</f>
        <v>1549.876428172475</v>
      </c>
      <c r="G37" s="1208"/>
      <c r="H37" s="1208"/>
      <c r="I37" s="1207">
        <f ca="1">SUM(I24:I27,I29:I36)-I28</f>
        <v>1385.5190990636527</v>
      </c>
      <c r="J37" s="1207">
        <f ca="1">SUM(J24:J27,J29:J36)-J28</f>
        <v>1553.492024053073</v>
      </c>
      <c r="K37" s="1207">
        <f ca="1">SUM(K24:K27,K29:K36)-K28</f>
        <v>1783.7564563152521</v>
      </c>
      <c r="L37" s="1207">
        <f ca="1">SUM(L24:L27,L29:L36)-L28</f>
        <v>2046.3781889164113</v>
      </c>
    </row>
    <row r="38" spans="1:14" ht="20.25">
      <c r="A38" s="1169" t="s">
        <v>183</v>
      </c>
      <c r="B38" s="1188" t="s">
        <v>312</v>
      </c>
      <c r="C38" s="1169"/>
      <c r="D38" s="1189"/>
      <c r="E38" s="1189"/>
      <c r="F38" s="1189"/>
      <c r="G38" s="1189"/>
      <c r="H38" s="1189"/>
      <c r="I38" s="1189"/>
      <c r="J38" s="1189"/>
      <c r="K38" s="1187"/>
      <c r="L38" s="1187"/>
    </row>
    <row r="39" spans="1:14" ht="20.25">
      <c r="A39" s="1169">
        <v>1</v>
      </c>
      <c r="B39" s="1190" t="s">
        <v>305</v>
      </c>
      <c r="C39" s="1191"/>
      <c r="D39" s="1189"/>
      <c r="E39" s="1189"/>
      <c r="F39" s="1189"/>
      <c r="G39" s="1189"/>
      <c r="H39" s="1189"/>
      <c r="I39" s="1189"/>
      <c r="J39" s="1189"/>
      <c r="K39" s="1187"/>
      <c r="L39" s="1187"/>
    </row>
    <row r="40" spans="1:14" ht="20.25">
      <c r="A40" s="1169">
        <f>+A39+1</f>
        <v>2</v>
      </c>
      <c r="B40" s="1190" t="s">
        <v>1255</v>
      </c>
      <c r="C40" s="1191"/>
      <c r="D40" s="1192">
        <f>'F18'!C27</f>
        <v>133.69649999999999</v>
      </c>
      <c r="E40" s="1192">
        <f>'F18'!D20</f>
        <v>59.680767074999991</v>
      </c>
      <c r="F40" s="1192">
        <f>'F18'!E20</f>
        <v>108.39</v>
      </c>
      <c r="G40" s="1192">
        <f>'F18'!F20</f>
        <v>0</v>
      </c>
      <c r="H40" s="1192">
        <f>'F18'!G20</f>
        <v>0</v>
      </c>
      <c r="I40" s="1192">
        <f ca="1">'F18'!H20</f>
        <v>62.664805428749986</v>
      </c>
      <c r="J40" s="1192">
        <f ca="1">'F18'!I20</f>
        <v>65.798045700187501</v>
      </c>
      <c r="K40" s="1192">
        <f ca="1">'F18'!J20</f>
        <v>69.087947985196863</v>
      </c>
      <c r="L40" s="1192">
        <f ca="1">'F18'!K20</f>
        <v>72.542345384456709</v>
      </c>
    </row>
    <row r="41" spans="1:14" ht="41.25" thickBot="1">
      <c r="A41" s="1169">
        <f>+A40+1</f>
        <v>3</v>
      </c>
      <c r="B41" s="1193" t="s">
        <v>622</v>
      </c>
      <c r="C41" s="1194"/>
      <c r="D41" s="1209"/>
      <c r="E41" s="1209"/>
      <c r="F41" s="1209"/>
      <c r="G41" s="1209"/>
      <c r="H41" s="1209"/>
      <c r="I41" s="1209"/>
      <c r="J41" s="1209"/>
      <c r="K41" s="1210"/>
      <c r="L41" s="1210"/>
    </row>
    <row r="42" spans="1:14" ht="21" thickBot="1">
      <c r="A42" s="1204"/>
      <c r="B42" s="1196" t="s">
        <v>313</v>
      </c>
      <c r="C42" s="1197"/>
      <c r="D42" s="1198">
        <f>SUM(D39:D41)</f>
        <v>133.69649999999999</v>
      </c>
      <c r="E42" s="1198">
        <f t="shared" ref="E42:L42" si="3">SUM(E39:E41)</f>
        <v>59.680767074999991</v>
      </c>
      <c r="F42" s="1198">
        <f t="shared" si="3"/>
        <v>108.39</v>
      </c>
      <c r="G42" s="1198">
        <f t="shared" si="3"/>
        <v>0</v>
      </c>
      <c r="H42" s="1198">
        <f t="shared" si="3"/>
        <v>0</v>
      </c>
      <c r="I42" s="1198">
        <f t="shared" ca="1" si="3"/>
        <v>62.664805428749986</v>
      </c>
      <c r="J42" s="1198">
        <f t="shared" ref="J42" ca="1" si="4">SUM(J39:J41)</f>
        <v>65.798045700187501</v>
      </c>
      <c r="K42" s="1198">
        <f t="shared" ca="1" si="3"/>
        <v>69.087947985196863</v>
      </c>
      <c r="L42" s="1198">
        <f t="shared" ca="1" si="3"/>
        <v>72.542345384456709</v>
      </c>
    </row>
    <row r="43" spans="1:14" ht="41.25" thickBot="1">
      <c r="A43" s="1204" t="s">
        <v>184</v>
      </c>
      <c r="B43" s="1196" t="s">
        <v>315</v>
      </c>
      <c r="C43" s="1197"/>
      <c r="D43" s="1198">
        <f>D37-D42+0.01</f>
        <v>1292.1916010810542</v>
      </c>
      <c r="E43" s="1198">
        <f ca="1">E37-E42</f>
        <v>1209.1317142051216</v>
      </c>
      <c r="F43" s="1198">
        <f t="shared" ref="F43:L43" si="5">F37-F42</f>
        <v>1441.4864281724749</v>
      </c>
      <c r="G43" s="1198">
        <f t="shared" si="5"/>
        <v>0</v>
      </c>
      <c r="H43" s="1198">
        <f t="shared" si="5"/>
        <v>0</v>
      </c>
      <c r="I43" s="1198">
        <f t="shared" ca="1" si="5"/>
        <v>1322.8542936349027</v>
      </c>
      <c r="J43" s="1198">
        <f t="shared" ref="J43" ca="1" si="6">J37-J42</f>
        <v>1487.6939783528856</v>
      </c>
      <c r="K43" s="1198">
        <f t="shared" ca="1" si="5"/>
        <v>1714.6685083300551</v>
      </c>
      <c r="L43" s="1198">
        <f t="shared" ca="1" si="5"/>
        <v>1973.8358435319547</v>
      </c>
      <c r="M43" s="1211"/>
    </row>
    <row r="44" spans="1:14" ht="41.25" thickBot="1">
      <c r="A44" s="1204"/>
      <c r="B44" s="1196" t="s">
        <v>1553</v>
      </c>
      <c r="C44" s="1197"/>
      <c r="D44" s="1198">
        <v>-421.28</v>
      </c>
      <c r="E44" s="1198">
        <f>D44</f>
        <v>-421.28</v>
      </c>
      <c r="F44" s="1198">
        <v>-310.81</v>
      </c>
      <c r="G44" s="1198"/>
      <c r="H44" s="1198"/>
      <c r="I44" s="1198">
        <f>F44</f>
        <v>-310.81</v>
      </c>
      <c r="J44" s="1198"/>
      <c r="K44" s="1198"/>
      <c r="L44" s="1198"/>
    </row>
    <row r="45" spans="1:14" ht="41.25" thickBot="1">
      <c r="A45" s="1204" t="s">
        <v>185</v>
      </c>
      <c r="B45" s="1196" t="s">
        <v>2257</v>
      </c>
      <c r="C45" s="1197"/>
      <c r="D45" s="1198">
        <f>D43-D17+D44</f>
        <v>-421.26839891894588</v>
      </c>
      <c r="E45" s="1198">
        <f ca="1">E43-E17+E44</f>
        <v>-83.048285594878394</v>
      </c>
      <c r="F45" s="1198">
        <f>F43-F17+F44</f>
        <v>-3.5718275251497289E-3</v>
      </c>
      <c r="G45" s="1198">
        <f t="shared" ref="G45:I45" si="7">G43-G17+G44</f>
        <v>0</v>
      </c>
      <c r="H45" s="1198">
        <f t="shared" si="7"/>
        <v>0</v>
      </c>
      <c r="I45" s="1198">
        <f t="shared" ca="1" si="7"/>
        <v>-118.63570636509763</v>
      </c>
      <c r="J45" s="1212"/>
      <c r="K45" s="1213"/>
      <c r="L45" s="1198"/>
    </row>
    <row r="46" spans="1:14" ht="21" thickBot="1">
      <c r="A46" s="1204" t="s">
        <v>186</v>
      </c>
      <c r="B46" s="1196" t="s">
        <v>316</v>
      </c>
      <c r="C46" s="1197"/>
      <c r="D46" s="1214"/>
      <c r="E46" s="1214"/>
      <c r="F46" s="1214"/>
      <c r="G46" s="1214"/>
      <c r="H46" s="1214"/>
      <c r="I46" s="1214"/>
      <c r="J46" s="1214"/>
      <c r="K46" s="1214"/>
      <c r="L46" s="1214"/>
    </row>
    <row r="47" spans="1:14" ht="41.25" thickBot="1">
      <c r="A47" s="1204" t="s">
        <v>314</v>
      </c>
      <c r="B47" s="1215" t="s">
        <v>1557</v>
      </c>
      <c r="C47" s="1216"/>
      <c r="D47" s="1217"/>
      <c r="E47" s="1217"/>
      <c r="F47" s="1217"/>
      <c r="G47" s="1217"/>
      <c r="H47" s="1217"/>
      <c r="I47" s="1217"/>
      <c r="J47" s="1217">
        <f ca="1">J43+'Carrying Cost'!D11</f>
        <v>1390.5067221354791</v>
      </c>
      <c r="K47" s="1218"/>
      <c r="L47" s="1217"/>
    </row>
    <row r="48" spans="1:14" s="1203" customFormat="1" ht="61.5" thickTop="1">
      <c r="A48" s="1616" t="s">
        <v>187</v>
      </c>
      <c r="B48" s="1617" t="s">
        <v>864</v>
      </c>
      <c r="C48" s="1618"/>
      <c r="D48" s="1619"/>
      <c r="E48" s="1619"/>
      <c r="F48" s="1620">
        <f>F43+F44</f>
        <v>1130.676428172475</v>
      </c>
      <c r="G48" s="1620">
        <f t="shared" ref="G48:I48" si="8">G43+G44</f>
        <v>0</v>
      </c>
      <c r="H48" s="1620">
        <f t="shared" si="8"/>
        <v>0</v>
      </c>
      <c r="I48" s="1620">
        <f t="shared" ca="1" si="8"/>
        <v>1012.0442936349027</v>
      </c>
      <c r="J48" s="1621"/>
      <c r="K48" s="1621"/>
      <c r="L48" s="1621"/>
      <c r="M48" s="1622"/>
      <c r="N48" s="1622"/>
    </row>
    <row r="49" spans="1:14" ht="21" customHeight="1">
      <c r="B49" s="1221"/>
      <c r="C49" s="1222"/>
      <c r="D49" s="1223"/>
      <c r="E49" s="1223"/>
      <c r="F49" s="1224"/>
      <c r="G49" s="1224"/>
      <c r="H49" s="1224"/>
      <c r="I49" s="1224"/>
      <c r="J49" s="1225"/>
      <c r="K49" s="1225"/>
      <c r="L49" s="1225"/>
      <c r="M49" s="1219"/>
      <c r="N49" s="1219"/>
    </row>
    <row r="50" spans="1:14" ht="21" customHeight="1">
      <c r="E50" s="1227"/>
      <c r="I50" s="1807" t="s">
        <v>401</v>
      </c>
      <c r="J50" s="1807"/>
      <c r="K50" s="1807"/>
      <c r="L50" s="1807"/>
    </row>
    <row r="51" spans="1:14" ht="21" customHeight="1">
      <c r="K51" s="1220"/>
    </row>
    <row r="52" spans="1:14" ht="21" hidden="1" customHeight="1">
      <c r="K52" s="1220"/>
    </row>
    <row r="53" spans="1:14" ht="21" hidden="1" customHeight="1">
      <c r="K53" s="1220"/>
    </row>
    <row r="54" spans="1:14" ht="21" hidden="1" customHeight="1">
      <c r="A54" s="1228" t="s">
        <v>187</v>
      </c>
      <c r="B54" s="1229"/>
      <c r="C54" s="1228"/>
      <c r="D54" s="1230"/>
      <c r="E54" s="1230"/>
      <c r="F54" s="1230"/>
      <c r="G54" s="1230"/>
      <c r="H54" s="1230"/>
      <c r="I54" s="1230"/>
      <c r="J54" s="1230"/>
      <c r="K54" s="1230"/>
      <c r="L54" s="1230"/>
    </row>
    <row r="55" spans="1:14" ht="21" hidden="1" customHeight="1">
      <c r="A55" s="1231">
        <v>1</v>
      </c>
      <c r="B55" s="1232" t="s">
        <v>339</v>
      </c>
      <c r="C55" s="1795" t="s">
        <v>359</v>
      </c>
      <c r="D55" s="1796"/>
      <c r="E55" s="1796"/>
      <c r="F55" s="1796"/>
      <c r="G55" s="1796"/>
      <c r="H55" s="1796"/>
      <c r="I55" s="1796"/>
      <c r="J55" s="1796"/>
      <c r="K55" s="1796"/>
      <c r="L55" s="1797"/>
    </row>
    <row r="56" spans="1:14" ht="21" hidden="1" customHeight="1">
      <c r="A56" s="1231">
        <v>2</v>
      </c>
      <c r="B56" s="1232" t="s">
        <v>343</v>
      </c>
      <c r="C56" s="1798">
        <v>20.100000000000001</v>
      </c>
      <c r="D56" s="1799"/>
      <c r="E56" s="1233"/>
      <c r="F56" s="1233"/>
      <c r="G56" s="1233"/>
      <c r="H56" s="1233"/>
      <c r="I56" s="1234"/>
      <c r="J56" s="1234"/>
      <c r="K56" s="1234"/>
      <c r="L56" s="1235"/>
    </row>
    <row r="57" spans="1:14" ht="21" hidden="1" customHeight="1">
      <c r="A57" s="1231">
        <v>3</v>
      </c>
      <c r="B57" s="1232" t="s">
        <v>330</v>
      </c>
      <c r="C57" s="1788" t="s">
        <v>341</v>
      </c>
      <c r="D57" s="1789"/>
      <c r="E57" s="1234"/>
      <c r="F57" s="1234"/>
      <c r="G57" s="1234"/>
      <c r="H57" s="1234"/>
      <c r="I57" s="1234"/>
      <c r="J57" s="1234"/>
      <c r="K57" s="1234"/>
      <c r="L57" s="1235"/>
    </row>
    <row r="58" spans="1:14" ht="21" hidden="1" customHeight="1">
      <c r="A58" s="1231">
        <v>4</v>
      </c>
      <c r="B58" s="1232" t="s">
        <v>331</v>
      </c>
      <c r="C58" s="1788" t="s">
        <v>360</v>
      </c>
      <c r="D58" s="1789"/>
      <c r="E58" s="1234"/>
      <c r="F58" s="1234"/>
      <c r="G58" s="1234"/>
      <c r="H58" s="1234"/>
      <c r="I58" s="1234"/>
      <c r="J58" s="1234"/>
      <c r="K58" s="1234"/>
      <c r="L58" s="1235"/>
    </row>
    <row r="59" spans="1:14" ht="21" hidden="1" customHeight="1">
      <c r="A59" s="1231">
        <v>5</v>
      </c>
      <c r="B59" s="1232" t="s">
        <v>332</v>
      </c>
      <c r="C59" s="1788"/>
      <c r="D59" s="1789"/>
      <c r="E59" s="1234"/>
      <c r="F59" s="1234"/>
      <c r="G59" s="1234"/>
      <c r="H59" s="1234"/>
      <c r="I59" s="1234"/>
      <c r="J59" s="1234"/>
      <c r="K59" s="1234"/>
      <c r="L59" s="1235"/>
    </row>
    <row r="60" spans="1:14" ht="21" hidden="1" customHeight="1"/>
    <row r="62" spans="1:14">
      <c r="E62" s="1236"/>
    </row>
  </sheetData>
  <mergeCells count="15">
    <mergeCell ref="C58:D58"/>
    <mergeCell ref="C59:D59"/>
    <mergeCell ref="C55:L55"/>
    <mergeCell ref="C56:D56"/>
    <mergeCell ref="C4:C5"/>
    <mergeCell ref="D4:E4"/>
    <mergeCell ref="F4:I4"/>
    <mergeCell ref="I50:L50"/>
    <mergeCell ref="J4:L4"/>
    <mergeCell ref="A2:C2"/>
    <mergeCell ref="A1:L1"/>
    <mergeCell ref="C57:D57"/>
    <mergeCell ref="A4:A5"/>
    <mergeCell ref="B4:B5"/>
    <mergeCell ref="D3:L3"/>
  </mergeCells>
  <printOptions horizontalCentered="1" verticalCentered="1"/>
  <pageMargins left="0.27559055118110237" right="0.31496062992125984" top="0" bottom="0" header="0.31496062992125984" footer="0.31496062992125984"/>
  <pageSetup paperSize="9" scale="46" orientation="landscape" r:id="rId1"/>
  <legacy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70"/>
  <sheetViews>
    <sheetView showGridLines="0" view="pageBreakPreview" topLeftCell="A2" zoomScale="90" zoomScaleNormal="100" zoomScaleSheetLayoutView="90" workbookViewId="0">
      <pane xSplit="2" ySplit="6" topLeftCell="C8" activePane="bottomRight" state="frozen"/>
      <selection activeCell="A2" sqref="A2"/>
      <selection pane="topRight" activeCell="C2" sqref="C2"/>
      <selection pane="bottomLeft" activeCell="A6" sqref="A6"/>
      <selection pane="bottomRight" activeCell="C10" sqref="C10"/>
    </sheetView>
  </sheetViews>
  <sheetFormatPr defaultRowHeight="15"/>
  <cols>
    <col min="1" max="1" width="5.85546875" style="44" customWidth="1"/>
    <col min="2" max="2" width="40.140625" style="44" customWidth="1"/>
    <col min="3" max="3" width="12.85546875" style="44" customWidth="1"/>
    <col min="4" max="4" width="13.28515625" style="44" customWidth="1"/>
    <col min="5" max="5" width="11.28515625" style="44" customWidth="1"/>
    <col min="6" max="6" width="11" style="53" bestFit="1" customWidth="1"/>
    <col min="7" max="7" width="11.140625" style="44" customWidth="1"/>
    <col min="8" max="248" width="9.140625" style="44"/>
    <col min="249" max="249" width="46.7109375" style="44" customWidth="1"/>
    <col min="250" max="504" width="9.140625" style="44"/>
    <col min="505" max="505" width="46.7109375" style="44" customWidth="1"/>
    <col min="506" max="760" width="9.140625" style="44"/>
    <col min="761" max="761" width="46.7109375" style="44" customWidth="1"/>
    <col min="762" max="1016" width="9.140625" style="44"/>
    <col min="1017" max="1017" width="46.7109375" style="44" customWidth="1"/>
    <col min="1018" max="1272" width="9.140625" style="44"/>
    <col min="1273" max="1273" width="46.7109375" style="44" customWidth="1"/>
    <col min="1274" max="1528" width="9.140625" style="44"/>
    <col min="1529" max="1529" width="46.7109375" style="44" customWidth="1"/>
    <col min="1530" max="1784" width="9.140625" style="44"/>
    <col min="1785" max="1785" width="46.7109375" style="44" customWidth="1"/>
    <col min="1786" max="2040" width="9.140625" style="44"/>
    <col min="2041" max="2041" width="46.7109375" style="44" customWidth="1"/>
    <col min="2042" max="2296" width="9.140625" style="44"/>
    <col min="2297" max="2297" width="46.7109375" style="44" customWidth="1"/>
    <col min="2298" max="2552" width="9.140625" style="44"/>
    <col min="2553" max="2553" width="46.7109375" style="44" customWidth="1"/>
    <col min="2554" max="2808" width="9.140625" style="44"/>
    <col min="2809" max="2809" width="46.7109375" style="44" customWidth="1"/>
    <col min="2810" max="3064" width="9.140625" style="44"/>
    <col min="3065" max="3065" width="46.7109375" style="44" customWidth="1"/>
    <col min="3066" max="3320" width="9.140625" style="44"/>
    <col min="3321" max="3321" width="46.7109375" style="44" customWidth="1"/>
    <col min="3322" max="3576" width="9.140625" style="44"/>
    <col min="3577" max="3577" width="46.7109375" style="44" customWidth="1"/>
    <col min="3578" max="3832" width="9.140625" style="44"/>
    <col min="3833" max="3833" width="46.7109375" style="44" customWidth="1"/>
    <col min="3834" max="4088" width="9.140625" style="44"/>
    <col min="4089" max="4089" width="46.7109375" style="44" customWidth="1"/>
    <col min="4090" max="4344" width="9.140625" style="44"/>
    <col min="4345" max="4345" width="46.7109375" style="44" customWidth="1"/>
    <col min="4346" max="4600" width="9.140625" style="44"/>
    <col min="4601" max="4601" width="46.7109375" style="44" customWidth="1"/>
    <col min="4602" max="4856" width="9.140625" style="44"/>
    <col min="4857" max="4857" width="46.7109375" style="44" customWidth="1"/>
    <col min="4858" max="5112" width="9.140625" style="44"/>
    <col min="5113" max="5113" width="46.7109375" style="44" customWidth="1"/>
    <col min="5114" max="5368" width="9.140625" style="44"/>
    <col min="5369" max="5369" width="46.7109375" style="44" customWidth="1"/>
    <col min="5370" max="5624" width="9.140625" style="44"/>
    <col min="5625" max="5625" width="46.7109375" style="44" customWidth="1"/>
    <col min="5626" max="5880" width="9.140625" style="44"/>
    <col min="5881" max="5881" width="46.7109375" style="44" customWidth="1"/>
    <col min="5882" max="6136" width="9.140625" style="44"/>
    <col min="6137" max="6137" width="46.7109375" style="44" customWidth="1"/>
    <col min="6138" max="6392" width="9.140625" style="44"/>
    <col min="6393" max="6393" width="46.7109375" style="44" customWidth="1"/>
    <col min="6394" max="6648" width="9.140625" style="44"/>
    <col min="6649" max="6649" width="46.7109375" style="44" customWidth="1"/>
    <col min="6650" max="6904" width="9.140625" style="44"/>
    <col min="6905" max="6905" width="46.7109375" style="44" customWidth="1"/>
    <col min="6906" max="7160" width="9.140625" style="44"/>
    <col min="7161" max="7161" width="46.7109375" style="44" customWidth="1"/>
    <col min="7162" max="7416" width="9.140625" style="44"/>
    <col min="7417" max="7417" width="46.7109375" style="44" customWidth="1"/>
    <col min="7418" max="7672" width="9.140625" style="44"/>
    <col min="7673" max="7673" width="46.7109375" style="44" customWidth="1"/>
    <col min="7674" max="7928" width="9.140625" style="44"/>
    <col min="7929" max="7929" width="46.7109375" style="44" customWidth="1"/>
    <col min="7930" max="8184" width="9.140625" style="44"/>
    <col min="8185" max="8185" width="46.7109375" style="44" customWidth="1"/>
    <col min="8186" max="8440" width="9.140625" style="44"/>
    <col min="8441" max="8441" width="46.7109375" style="44" customWidth="1"/>
    <col min="8442" max="8696" width="9.140625" style="44"/>
    <col min="8697" max="8697" width="46.7109375" style="44" customWidth="1"/>
    <col min="8698" max="8952" width="9.140625" style="44"/>
    <col min="8953" max="8953" width="46.7109375" style="44" customWidth="1"/>
    <col min="8954" max="9208" width="9.140625" style="44"/>
    <col min="9209" max="9209" width="46.7109375" style="44" customWidth="1"/>
    <col min="9210" max="9464" width="9.140625" style="44"/>
    <col min="9465" max="9465" width="46.7109375" style="44" customWidth="1"/>
    <col min="9466" max="9720" width="9.140625" style="44"/>
    <col min="9721" max="9721" width="46.7109375" style="44" customWidth="1"/>
    <col min="9722" max="9976" width="9.140625" style="44"/>
    <col min="9977" max="9977" width="46.7109375" style="44" customWidth="1"/>
    <col min="9978" max="10232" width="9.140625" style="44"/>
    <col min="10233" max="10233" width="46.7109375" style="44" customWidth="1"/>
    <col min="10234" max="10488" width="9.140625" style="44"/>
    <col min="10489" max="10489" width="46.7109375" style="44" customWidth="1"/>
    <col min="10490" max="10744" width="9.140625" style="44"/>
    <col min="10745" max="10745" width="46.7109375" style="44" customWidth="1"/>
    <col min="10746" max="11000" width="9.140625" style="44"/>
    <col min="11001" max="11001" width="46.7109375" style="44" customWidth="1"/>
    <col min="11002" max="11256" width="9.140625" style="44"/>
    <col min="11257" max="11257" width="46.7109375" style="44" customWidth="1"/>
    <col min="11258" max="11512" width="9.140625" style="44"/>
    <col min="11513" max="11513" width="46.7109375" style="44" customWidth="1"/>
    <col min="11514" max="11768" width="9.140625" style="44"/>
    <col min="11769" max="11769" width="46.7109375" style="44" customWidth="1"/>
    <col min="11770" max="12024" width="9.140625" style="44"/>
    <col min="12025" max="12025" width="46.7109375" style="44" customWidth="1"/>
    <col min="12026" max="12280" width="9.140625" style="44"/>
    <col min="12281" max="12281" width="46.7109375" style="44" customWidth="1"/>
    <col min="12282" max="12536" width="9.140625" style="44"/>
    <col min="12537" max="12537" width="46.7109375" style="44" customWidth="1"/>
    <col min="12538" max="12792" width="9.140625" style="44"/>
    <col min="12793" max="12793" width="46.7109375" style="44" customWidth="1"/>
    <col min="12794" max="13048" width="9.140625" style="44"/>
    <col min="13049" max="13049" width="46.7109375" style="44" customWidth="1"/>
    <col min="13050" max="13304" width="9.140625" style="44"/>
    <col min="13305" max="13305" width="46.7109375" style="44" customWidth="1"/>
    <col min="13306" max="13560" width="9.140625" style="44"/>
    <col min="13561" max="13561" width="46.7109375" style="44" customWidth="1"/>
    <col min="13562" max="13816" width="9.140625" style="44"/>
    <col min="13817" max="13817" width="46.7109375" style="44" customWidth="1"/>
    <col min="13818" max="14072" width="9.140625" style="44"/>
    <col min="14073" max="14073" width="46.7109375" style="44" customWidth="1"/>
    <col min="14074" max="14328" width="9.140625" style="44"/>
    <col min="14329" max="14329" width="46.7109375" style="44" customWidth="1"/>
    <col min="14330" max="14584" width="9.140625" style="44"/>
    <col min="14585" max="14585" width="46.7109375" style="44" customWidth="1"/>
    <col min="14586" max="14840" width="9.140625" style="44"/>
    <col min="14841" max="14841" width="46.7109375" style="44" customWidth="1"/>
    <col min="14842" max="15096" width="9.140625" style="44"/>
    <col min="15097" max="15097" width="46.7109375" style="44" customWidth="1"/>
    <col min="15098" max="15352" width="9.140625" style="44"/>
    <col min="15353" max="15353" width="46.7109375" style="44" customWidth="1"/>
    <col min="15354" max="15608" width="9.140625" style="44"/>
    <col min="15609" max="15609" width="46.7109375" style="44" customWidth="1"/>
    <col min="15610" max="15864" width="9.140625" style="44"/>
    <col min="15865" max="15865" width="46.7109375" style="44" customWidth="1"/>
    <col min="15866" max="16120" width="9.140625" style="44"/>
    <col min="16121" max="16121" width="46.7109375" style="44" customWidth="1"/>
    <col min="16122" max="16384" width="9.140625" style="44"/>
  </cols>
  <sheetData>
    <row r="1" spans="1:7">
      <c r="A1" s="2468" t="s">
        <v>47</v>
      </c>
      <c r="B1" s="2468"/>
      <c r="C1" s="2468"/>
      <c r="D1" s="2468"/>
      <c r="E1" s="2468"/>
      <c r="F1" s="1264"/>
    </row>
    <row r="2" spans="1:7" s="53" customFormat="1">
      <c r="A2" s="1378"/>
      <c r="B2" s="2440" t="s">
        <v>2708</v>
      </c>
      <c r="C2" s="2440"/>
      <c r="D2" s="2440"/>
      <c r="E2" s="2440"/>
      <c r="F2" s="1378"/>
    </row>
    <row r="3" spans="1:7" s="53" customFormat="1">
      <c r="A3" s="1378"/>
      <c r="B3" s="1378"/>
      <c r="C3" s="1378"/>
      <c r="D3" s="1378"/>
      <c r="E3" s="1378"/>
      <c r="F3" s="1378"/>
    </row>
    <row r="4" spans="1:7">
      <c r="A4" s="51" t="s">
        <v>461</v>
      </c>
      <c r="B4" s="51"/>
      <c r="C4" s="51"/>
      <c r="D4" s="51"/>
      <c r="E4" s="57" t="s">
        <v>526</v>
      </c>
      <c r="F4" s="57"/>
    </row>
    <row r="5" spans="1:7">
      <c r="A5" s="45"/>
      <c r="B5" s="46"/>
      <c r="C5" s="45"/>
    </row>
    <row r="6" spans="1:7">
      <c r="A6" s="52" t="s">
        <v>462</v>
      </c>
      <c r="B6" s="52" t="s">
        <v>48</v>
      </c>
      <c r="C6" s="375" t="s">
        <v>458</v>
      </c>
      <c r="D6" s="375" t="s">
        <v>459</v>
      </c>
      <c r="E6" s="2471" t="s">
        <v>747</v>
      </c>
      <c r="F6" s="2471"/>
      <c r="G6" s="2471"/>
    </row>
    <row r="7" spans="1:7" s="53" customFormat="1">
      <c r="A7" s="353"/>
      <c r="B7" s="353"/>
      <c r="C7" s="375" t="s">
        <v>920</v>
      </c>
      <c r="D7" s="375" t="s">
        <v>923</v>
      </c>
      <c r="E7" s="375" t="s">
        <v>1841</v>
      </c>
      <c r="F7" s="375" t="s">
        <v>1842</v>
      </c>
      <c r="G7" s="375" t="s">
        <v>1843</v>
      </c>
    </row>
    <row r="8" spans="1:7">
      <c r="A8" s="42" t="s">
        <v>137</v>
      </c>
      <c r="B8" s="49" t="s">
        <v>463</v>
      </c>
      <c r="C8" s="48"/>
      <c r="D8" s="48"/>
      <c r="E8" s="48"/>
      <c r="F8" s="48"/>
      <c r="G8" s="48"/>
    </row>
    <row r="9" spans="1:7">
      <c r="A9" s="50">
        <v>1</v>
      </c>
      <c r="B9" s="3" t="s">
        <v>464</v>
      </c>
      <c r="C9" s="714">
        <f>'F5-8'!E8/('F7-1'!D7-('F7-3'!G18))</f>
        <v>0.15825370612156867</v>
      </c>
      <c r="D9" s="714">
        <f>'F5-8'!I8/('F7-1'!H7-(('F7-3'!V18)+'F7-2'!D60))</f>
        <v>0.11103072193041524</v>
      </c>
      <c r="E9" s="714">
        <f>'F5-8'!J8/('F7-1'!I7-(('F7-3'!W18)+'F7-2'!E60))</f>
        <v>0.11187768125095843</v>
      </c>
      <c r="F9" s="714">
        <f>'F5-8'!K8/('F7-1'!J7-(('F7-3'!X18)+'F7-2'!F60))</f>
        <v>8.8237792324992056E-2</v>
      </c>
      <c r="G9" s="714">
        <f>'F5-8'!L8/('F7-1'!K7-(('F7-3'!Y18)+'F7-2'!G60))</f>
        <v>4.5454169111102234E-2</v>
      </c>
    </row>
    <row r="10" spans="1:7" ht="17.25" customHeight="1">
      <c r="A10" s="50">
        <v>2</v>
      </c>
      <c r="B10" s="3" t="s">
        <v>465</v>
      </c>
      <c r="C10" s="713">
        <f ca="1">'F1'!E43/'F14-4'!C13*10</f>
        <v>0.35556961758021005</v>
      </c>
      <c r="D10" s="713">
        <f ca="1">'F1'!I43/'F14-4'!D13*10</f>
        <v>0.37048765756068536</v>
      </c>
      <c r="E10" s="713">
        <f ca="1">'F1'!J43/'F14-4'!E13*10</f>
        <v>0.39681313487857967</v>
      </c>
      <c r="F10" s="713">
        <f ca="1">'F1'!K43/'F14-4'!F13*10</f>
        <v>0.43557536247592665</v>
      </c>
      <c r="G10" s="713">
        <f ca="1">'F1'!L43/'F14-4'!G13*10</f>
        <v>0.4775346254073925</v>
      </c>
    </row>
    <row r="11" spans="1:7">
      <c r="A11" s="50">
        <v>3</v>
      </c>
      <c r="B11" s="3" t="s">
        <v>466</v>
      </c>
      <c r="C11" s="711">
        <f ca="1">'F1'!E20/'F1'!E43</f>
        <v>0.14970125511777974</v>
      </c>
      <c r="D11" s="711">
        <f ca="1">'F1'!I20/'F1'!I43</f>
        <v>0.15124211598763004</v>
      </c>
      <c r="E11" s="711">
        <f ca="1">'F1'!J20/'F1'!J43</f>
        <v>0.15206660832046159</v>
      </c>
      <c r="F11" s="711">
        <f ca="1">'F1'!K20/'F1'!K43</f>
        <v>0.1473415445970413</v>
      </c>
      <c r="G11" s="711">
        <f ca="1">'F1'!L20/'F1'!L43</f>
        <v>0.14441927395859994</v>
      </c>
    </row>
    <row r="12" spans="1:7" ht="30">
      <c r="A12" s="50">
        <v>4</v>
      </c>
      <c r="B12" s="3" t="s">
        <v>467</v>
      </c>
      <c r="C12" s="713">
        <f>'F1'!E24/'F1'!E15</f>
        <v>0.39664511199310071</v>
      </c>
      <c r="D12" s="713">
        <f>'F1'!I24/'F1'!I15</f>
        <v>0.33235364159149827</v>
      </c>
      <c r="E12" s="713">
        <f ca="1">'F1'!J24/'F1'!J15</f>
        <v>0.25575060620123125</v>
      </c>
      <c r="F12" s="713">
        <f ca="1">'F1'!K24/'F1'!K15</f>
        <v>0.24518143714568108</v>
      </c>
      <c r="G12" s="713">
        <f ca="1">'F1'!L24/'F1'!L15</f>
        <v>0.2372894186481436</v>
      </c>
    </row>
    <row r="13" spans="1:7">
      <c r="A13" s="50">
        <v>5</v>
      </c>
      <c r="B13" s="47" t="s">
        <v>468</v>
      </c>
      <c r="C13" s="712">
        <f>(Interest!D16*70%)+('F10'!E32*30%)</f>
        <v>9.3697437064154732E-2</v>
      </c>
      <c r="D13" s="712">
        <f>(Interest!H16*70%)+('F10'!H32*30%)</f>
        <v>8.8561833910629162E-2</v>
      </c>
      <c r="E13" s="712">
        <f>(Interest!I16*80%)+('F10'!I32*20%)</f>
        <v>8.692781018357619E-2</v>
      </c>
      <c r="F13" s="712">
        <f>(Interest!J16*80%)+('F10'!J32*20%)</f>
        <v>8.692781018357619E-2</v>
      </c>
      <c r="G13" s="712">
        <f>(Interest!K16*80%)+('F10'!K32*20%)</f>
        <v>8.692781018357619E-2</v>
      </c>
    </row>
    <row r="14" spans="1:7">
      <c r="A14" s="50">
        <v>6</v>
      </c>
      <c r="B14" s="3" t="s">
        <v>469</v>
      </c>
      <c r="C14" s="715">
        <f>'F1'!E15/(Interest!D11+Interest!D12)</f>
        <v>1.7284563168340412</v>
      </c>
      <c r="D14" s="715">
        <f>'F1'!I15/(Interest!H11+Interest!H12)</f>
        <v>1.2071351399797143</v>
      </c>
      <c r="E14" s="715">
        <f ca="1">'F1'!J15/(Interest!I11+Interest!I12)</f>
        <v>1.3057050562140338</v>
      </c>
      <c r="F14" s="715">
        <f ca="1">'F1'!K15/(Interest!J11+Interest!J12)</f>
        <v>1.2584632317368301</v>
      </c>
      <c r="G14" s="715">
        <f ca="1">'F1'!L15/(Interest!K11+Interest!K12)</f>
        <v>1.2959367699728739</v>
      </c>
    </row>
    <row r="15" spans="1:7" ht="30">
      <c r="A15" s="50">
        <v>7</v>
      </c>
      <c r="B15" s="3" t="s">
        <v>532</v>
      </c>
      <c r="C15" s="713">
        <v>0</v>
      </c>
      <c r="D15" s="713">
        <v>0</v>
      </c>
      <c r="E15" s="713">
        <v>0</v>
      </c>
      <c r="F15" s="713">
        <v>0</v>
      </c>
      <c r="G15" s="713">
        <v>0</v>
      </c>
    </row>
    <row r="16" spans="1:7" ht="30">
      <c r="A16" s="50">
        <v>9</v>
      </c>
      <c r="B16" s="3" t="s">
        <v>470</v>
      </c>
      <c r="C16" s="714">
        <f ca="1">'F19'!D12/'F1'!E17</f>
        <v>1.3516456824951763E-2</v>
      </c>
      <c r="D16" s="714">
        <f ca="1">'F19'!H12/'F1'!I17</f>
        <v>1.0925780588224061E-2</v>
      </c>
      <c r="E16" s="714">
        <f ca="1">'F19'!I12/'F1'!J17</f>
        <v>1.3381412331430986E-2</v>
      </c>
      <c r="F16" s="714">
        <f ca="1">'F19'!J12/'F1'!K17</f>
        <v>1.3348136005489314E-2</v>
      </c>
      <c r="G16" s="714">
        <f ca="1">'F19'!K12/'F1'!L17</f>
        <v>1.3329274268823584E-2</v>
      </c>
    </row>
    <row r="17" spans="1:7">
      <c r="A17" s="50"/>
      <c r="B17" s="47"/>
      <c r="C17" s="48"/>
      <c r="D17" s="48"/>
      <c r="E17" s="48"/>
      <c r="F17" s="48"/>
      <c r="G17" s="48"/>
    </row>
    <row r="18" spans="1:7">
      <c r="A18" s="42" t="s">
        <v>142</v>
      </c>
      <c r="B18" s="49" t="s">
        <v>471</v>
      </c>
      <c r="C18" s="48"/>
      <c r="D18" s="48"/>
      <c r="E18" s="48"/>
      <c r="F18" s="48"/>
      <c r="G18" s="48"/>
    </row>
    <row r="19" spans="1:7">
      <c r="A19" s="50">
        <v>1</v>
      </c>
      <c r="B19" s="3" t="s">
        <v>472</v>
      </c>
      <c r="C19" s="716">
        <f>'F14-4'!C13/'F14-4'!C9</f>
        <v>14.569616351328191</v>
      </c>
      <c r="D19" s="716">
        <f>'F14-4'!D13/'F14-4'!D9</f>
        <v>15.304654433004716</v>
      </c>
      <c r="E19" s="716">
        <f>'F14-4'!E13/'F14-4'!E9</f>
        <v>16.314641745783291</v>
      </c>
      <c r="F19" s="716">
        <f>'F14-4'!F13/'F14-4'!F9</f>
        <v>17.235376124518613</v>
      </c>
      <c r="G19" s="716">
        <f>'F14-4'!G13/'F14-4'!G9</f>
        <v>18.265081317640536</v>
      </c>
    </row>
    <row r="20" spans="1:7">
      <c r="A20" s="50">
        <v>2</v>
      </c>
      <c r="B20" s="3" t="s">
        <v>1157</v>
      </c>
      <c r="C20" s="716">
        <f>'F14-4'!C12/'F14-4'!C9</f>
        <v>6.4627120822622102</v>
      </c>
      <c r="D20" s="716">
        <f>'F14-4'!D12/'F14-4'!D9</f>
        <v>6.8880882983283325</v>
      </c>
      <c r="E20" s="716">
        <f>'F14-4'!E12/'F14-4'!E9</f>
        <v>7.5217841601392523</v>
      </c>
      <c r="F20" s="716">
        <f>'F14-4'!F12/'F14-4'!F9</f>
        <v>8.0902758318739068</v>
      </c>
      <c r="G20" s="716">
        <f>'F14-4'!G12/'F14-4'!G9</f>
        <v>8.7714184710561209</v>
      </c>
    </row>
    <row r="21" spans="1:7">
      <c r="A21" s="50">
        <v>3</v>
      </c>
      <c r="B21" s="3" t="s">
        <v>473</v>
      </c>
      <c r="C21" s="716">
        <f>'F14-4'!C11/'F14-4'!C9</f>
        <v>9.9014567266495295</v>
      </c>
      <c r="D21" s="716">
        <f>'F14-4'!D11/'F14-4'!D9</f>
        <v>10.407201028718388</v>
      </c>
      <c r="E21" s="716">
        <f>'F14-4'!E11/'F14-4'!E9</f>
        <v>11.093994778067884</v>
      </c>
      <c r="F21" s="716">
        <f>'F14-4'!F11/'F14-4'!F9</f>
        <v>11.720096322241682</v>
      </c>
      <c r="G21" s="716">
        <f>'F14-4'!G11/'F14-4'!G9</f>
        <v>12.420298276623951</v>
      </c>
    </row>
    <row r="22" spans="1:7">
      <c r="A22" s="50">
        <v>4</v>
      </c>
      <c r="B22" s="3" t="s">
        <v>1156</v>
      </c>
      <c r="C22" s="716">
        <f>'F1'!E15/'F14-4'!C9</f>
        <v>0.37313624670094259</v>
      </c>
      <c r="D22" s="716">
        <f>'F1'!I15/'F14-4'!D9</f>
        <v>0.48464637805400784</v>
      </c>
      <c r="E22" s="716">
        <f ca="1">'F1'!J15/'F14-4'!E9</f>
        <v>0.64738641355652116</v>
      </c>
      <c r="F22" s="716">
        <f ca="1">'F1'!K15/'F14-4'!F9</f>
        <v>0.75073052028461262</v>
      </c>
      <c r="G22" s="716">
        <f ca="1">'F1'!L15/'F14-4'!G9</f>
        <v>0.87222087650550362</v>
      </c>
    </row>
    <row r="23" spans="1:7">
      <c r="A23" s="50">
        <v>5</v>
      </c>
      <c r="B23" s="3" t="s">
        <v>474</v>
      </c>
      <c r="C23" s="717">
        <v>0</v>
      </c>
      <c r="D23" s="717">
        <v>0</v>
      </c>
      <c r="E23" s="717">
        <v>0</v>
      </c>
      <c r="F23" s="717">
        <v>0</v>
      </c>
      <c r="G23" s="717">
        <v>0</v>
      </c>
    </row>
    <row r="24" spans="1:7">
      <c r="A24" s="50"/>
      <c r="B24" s="47"/>
      <c r="C24" s="48"/>
      <c r="D24" s="48"/>
      <c r="E24" s="48"/>
      <c r="F24" s="48"/>
      <c r="G24" s="48"/>
    </row>
    <row r="25" spans="1:7" hidden="1">
      <c r="A25" s="42" t="s">
        <v>183</v>
      </c>
      <c r="B25" s="49" t="s">
        <v>475</v>
      </c>
      <c r="C25" s="47"/>
      <c r="D25" s="48"/>
      <c r="E25" s="1512"/>
      <c r="F25" s="1509"/>
    </row>
    <row r="26" spans="1:7" ht="30" hidden="1">
      <c r="A26" s="50">
        <v>1</v>
      </c>
      <c r="B26" s="3" t="s">
        <v>476</v>
      </c>
      <c r="C26" s="2469"/>
      <c r="D26" s="2470"/>
      <c r="E26" s="2470"/>
      <c r="F26" s="1510"/>
    </row>
    <row r="27" spans="1:7" s="58" customFormat="1" ht="60" hidden="1">
      <c r="A27" s="686">
        <v>2</v>
      </c>
      <c r="B27" s="687" t="s">
        <v>477</v>
      </c>
      <c r="C27" s="357"/>
      <c r="D27" s="279"/>
      <c r="E27" s="279"/>
      <c r="F27" s="1511"/>
    </row>
    <row r="28" spans="1:7">
      <c r="A28" s="43"/>
    </row>
    <row r="29" spans="1:7">
      <c r="A29" s="43"/>
    </row>
    <row r="30" spans="1:7">
      <c r="A30" s="43"/>
      <c r="E30" s="54"/>
      <c r="F30" s="54"/>
    </row>
    <row r="31" spans="1:7" ht="15.75">
      <c r="A31" s="43"/>
      <c r="D31" s="718" t="s">
        <v>1097</v>
      </c>
    </row>
    <row r="32" spans="1:7">
      <c r="A32" s="43"/>
    </row>
    <row r="33" spans="1:1">
      <c r="A33" s="43"/>
    </row>
    <row r="34" spans="1:1">
      <c r="A34" s="43"/>
    </row>
    <row r="35" spans="1:1">
      <c r="A35" s="43"/>
    </row>
    <row r="36" spans="1:1">
      <c r="A36" s="43"/>
    </row>
    <row r="37" spans="1:1">
      <c r="A37" s="43"/>
    </row>
    <row r="38" spans="1:1">
      <c r="A38" s="43"/>
    </row>
    <row r="39" spans="1:1">
      <c r="A39" s="43"/>
    </row>
    <row r="40" spans="1:1">
      <c r="A40" s="43"/>
    </row>
    <row r="41" spans="1:1">
      <c r="A41" s="43"/>
    </row>
    <row r="42" spans="1:1">
      <c r="A42" s="43"/>
    </row>
    <row r="43" spans="1:1">
      <c r="A43" s="43"/>
    </row>
    <row r="44" spans="1:1">
      <c r="A44" s="43"/>
    </row>
    <row r="45" spans="1:1">
      <c r="A45" s="43"/>
    </row>
    <row r="46" spans="1:1">
      <c r="A46" s="43"/>
    </row>
    <row r="47" spans="1:1">
      <c r="A47" s="43"/>
    </row>
    <row r="48" spans="1:1">
      <c r="A48" s="43"/>
    </row>
    <row r="49" spans="1:1">
      <c r="A49" s="43"/>
    </row>
    <row r="50" spans="1:1">
      <c r="A50" s="43"/>
    </row>
    <row r="51" spans="1:1">
      <c r="A51" s="43"/>
    </row>
    <row r="52" spans="1:1">
      <c r="A52" s="43"/>
    </row>
    <row r="53" spans="1:1">
      <c r="A53" s="43"/>
    </row>
    <row r="54" spans="1:1">
      <c r="A54" s="43"/>
    </row>
    <row r="55" spans="1:1">
      <c r="A55" s="43"/>
    </row>
    <row r="56" spans="1:1">
      <c r="A56" s="43"/>
    </row>
    <row r="57" spans="1:1">
      <c r="A57" s="43"/>
    </row>
    <row r="58" spans="1:1">
      <c r="A58" s="43"/>
    </row>
    <row r="59" spans="1:1">
      <c r="A59" s="43"/>
    </row>
    <row r="60" spans="1:1">
      <c r="A60" s="43"/>
    </row>
    <row r="61" spans="1:1">
      <c r="A61" s="43"/>
    </row>
    <row r="62" spans="1:1">
      <c r="A62" s="43"/>
    </row>
    <row r="63" spans="1:1">
      <c r="A63" s="43"/>
    </row>
    <row r="64" spans="1:1">
      <c r="A64" s="43"/>
    </row>
    <row r="65" spans="1:1">
      <c r="A65" s="43"/>
    </row>
    <row r="66" spans="1:1">
      <c r="A66" s="43"/>
    </row>
    <row r="67" spans="1:1">
      <c r="A67" s="43"/>
    </row>
    <row r="68" spans="1:1">
      <c r="A68" s="43"/>
    </row>
    <row r="69" spans="1:1">
      <c r="A69" s="43"/>
    </row>
    <row r="70" spans="1:1">
      <c r="A70" s="43"/>
    </row>
  </sheetData>
  <mergeCells count="4">
    <mergeCell ref="A1:E1"/>
    <mergeCell ref="C26:E26"/>
    <mergeCell ref="E6:G6"/>
    <mergeCell ref="B2:E2"/>
  </mergeCells>
  <pageMargins left="0.70866141732283472" right="0.70866141732283472" top="0.74803149606299213" bottom="0.74803149606299213" header="0.31496062992125984" footer="0.31496062992125984"/>
  <pageSetup paperSize="9" scale="80" fitToHeight="2"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3" sqref="A23"/>
    </sheetView>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D24"/>
  <sheetViews>
    <sheetView showGridLines="0" view="pageBreakPreview" topLeftCell="B1" zoomScale="80" zoomScaleNormal="70" zoomScaleSheetLayoutView="80" workbookViewId="0">
      <selection activeCell="D6" sqref="D6:D11"/>
    </sheetView>
  </sheetViews>
  <sheetFormatPr defaultRowHeight="15"/>
  <cols>
    <col min="1" max="2" width="9.140625" style="975"/>
    <col min="3" max="3" width="67.7109375" style="975" customWidth="1"/>
    <col min="4" max="4" width="21.42578125" style="975" customWidth="1"/>
    <col min="5" max="16384" width="9.140625" style="975"/>
  </cols>
  <sheetData>
    <row r="1" spans="2:4">
      <c r="B1" s="1809" t="s">
        <v>1158</v>
      </c>
      <c r="C1" s="1810"/>
      <c r="D1" s="1810"/>
    </row>
    <row r="2" spans="2:4">
      <c r="B2" s="1033" t="s">
        <v>1560</v>
      </c>
      <c r="C2" s="1033"/>
      <c r="D2" s="1640"/>
    </row>
    <row r="4" spans="2:4">
      <c r="B4" s="1812" t="s">
        <v>158</v>
      </c>
      <c r="C4" s="1813" t="s">
        <v>48</v>
      </c>
      <c r="D4" s="1113" t="s">
        <v>1108</v>
      </c>
    </row>
    <row r="5" spans="2:4">
      <c r="B5" s="1812"/>
      <c r="C5" s="1813"/>
      <c r="D5" s="1114" t="s">
        <v>1256</v>
      </c>
    </row>
    <row r="6" spans="2:4">
      <c r="B6" s="985">
        <v>1</v>
      </c>
      <c r="C6" s="1108" t="s">
        <v>2258</v>
      </c>
      <c r="D6" s="992">
        <f ca="1">'F1'!E45</f>
        <v>-83.048285594878394</v>
      </c>
    </row>
    <row r="7" spans="2:4" ht="30">
      <c r="B7" s="985">
        <v>2</v>
      </c>
      <c r="C7" s="1108" t="s">
        <v>2218</v>
      </c>
      <c r="D7" s="992">
        <f ca="1">(D6*8.55%)/2</f>
        <v>-3.5503142091810518</v>
      </c>
    </row>
    <row r="8" spans="2:4" ht="30">
      <c r="B8" s="985">
        <v>3</v>
      </c>
      <c r="C8" s="1108" t="s">
        <v>2219</v>
      </c>
      <c r="D8" s="992">
        <f ca="1">D6*8.5%</f>
        <v>-7.059104275564664</v>
      </c>
    </row>
    <row r="9" spans="2:4" ht="30">
      <c r="B9" s="985">
        <v>4</v>
      </c>
      <c r="C9" s="1108" t="s">
        <v>2220</v>
      </c>
      <c r="D9" s="994">
        <f ca="1">(D6*8.5%)/2</f>
        <v>-3.529552137782332</v>
      </c>
    </row>
    <row r="10" spans="2:4">
      <c r="B10" s="985">
        <v>5</v>
      </c>
      <c r="C10" s="1108" t="s">
        <v>1558</v>
      </c>
      <c r="D10" s="992">
        <f ca="1">SUM(D6:D9)</f>
        <v>-97.187256217406443</v>
      </c>
    </row>
    <row r="11" spans="2:4">
      <c r="B11" s="985">
        <v>6</v>
      </c>
      <c r="C11" s="1109" t="s">
        <v>2265</v>
      </c>
      <c r="D11" s="1110">
        <f ca="1">D10</f>
        <v>-97.187256217406443</v>
      </c>
    </row>
    <row r="12" spans="2:4">
      <c r="B12" s="1107"/>
      <c r="C12" s="1109"/>
      <c r="D12" s="1111"/>
    </row>
    <row r="13" spans="2:4">
      <c r="B13" s="1112"/>
      <c r="C13" s="1112"/>
      <c r="D13" s="1112"/>
    </row>
    <row r="14" spans="2:4">
      <c r="B14" s="1112"/>
      <c r="C14" s="1112"/>
      <c r="D14" s="1112"/>
    </row>
    <row r="15" spans="2:4">
      <c r="B15" s="1812" t="s">
        <v>158</v>
      </c>
      <c r="C15" s="1813" t="s">
        <v>48</v>
      </c>
      <c r="D15" s="1113" t="s">
        <v>1173</v>
      </c>
    </row>
    <row r="16" spans="2:4">
      <c r="B16" s="1812"/>
      <c r="C16" s="1813"/>
      <c r="D16" s="1114" t="s">
        <v>1256</v>
      </c>
    </row>
    <row r="17" spans="2:4">
      <c r="B17" s="985">
        <v>1</v>
      </c>
      <c r="C17" s="1108" t="s">
        <v>2259</v>
      </c>
      <c r="D17" s="992">
        <f ca="1">'F1'!I45</f>
        <v>-118.63570636509763</v>
      </c>
    </row>
    <row r="18" spans="2:4" ht="30">
      <c r="B18" s="985">
        <v>2</v>
      </c>
      <c r="C18" s="1108" t="s">
        <v>1555</v>
      </c>
      <c r="D18" s="992"/>
    </row>
    <row r="19" spans="2:4" ht="30">
      <c r="B19" s="985">
        <v>3</v>
      </c>
      <c r="C19" s="1108" t="s">
        <v>1556</v>
      </c>
      <c r="D19" s="992"/>
    </row>
    <row r="20" spans="2:4">
      <c r="B20" s="985">
        <v>4</v>
      </c>
      <c r="C20" s="1109" t="s">
        <v>2260</v>
      </c>
      <c r="D20" s="1110">
        <f ca="1">SUM(D17:D19)</f>
        <v>-118.63570636509763</v>
      </c>
    </row>
    <row r="24" spans="2:4" ht="16.5">
      <c r="B24" s="1811" t="s">
        <v>401</v>
      </c>
      <c r="C24" s="1811"/>
      <c r="D24" s="1811"/>
    </row>
  </sheetData>
  <mergeCells count="6">
    <mergeCell ref="B1:D1"/>
    <mergeCell ref="B24:D24"/>
    <mergeCell ref="B4:B5"/>
    <mergeCell ref="C4:C5"/>
    <mergeCell ref="B15:B16"/>
    <mergeCell ref="C15:C16"/>
  </mergeCells>
  <pageMargins left="0.7" right="0.7" top="0.75" bottom="0.75" header="0.3" footer="0.3"/>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fitToPage="1"/>
  </sheetPr>
  <dimension ref="A1:K34"/>
  <sheetViews>
    <sheetView showGridLines="0" view="pageBreakPreview" zoomScale="70" zoomScaleNormal="100" zoomScaleSheetLayoutView="70" workbookViewId="0">
      <pane xSplit="2" ySplit="1" topLeftCell="C2" activePane="bottomRight" state="frozen"/>
      <selection pane="topRight" activeCell="C1" sqref="C1"/>
      <selection pane="bottomLeft" activeCell="A2" sqref="A2"/>
      <selection pane="bottomRight" activeCell="D9" sqref="D9"/>
    </sheetView>
  </sheetViews>
  <sheetFormatPr defaultColWidth="9.140625" defaultRowHeight="15.75"/>
  <cols>
    <col min="1" max="1" width="9.140625" style="147"/>
    <col min="2" max="2" width="59.7109375" style="281" customWidth="1"/>
    <col min="3" max="4" width="20.42578125" style="74" customWidth="1"/>
    <col min="5" max="5" width="17.42578125" style="74" customWidth="1"/>
    <col min="6" max="7" width="17.42578125" style="74" hidden="1" customWidth="1"/>
    <col min="8" max="8" width="17.42578125" style="74" customWidth="1"/>
    <col min="9" max="9" width="17.42578125" style="826" customWidth="1"/>
    <col min="10" max="11" width="19" style="74" customWidth="1"/>
    <col min="12" max="16384" width="9.140625" style="74"/>
  </cols>
  <sheetData>
    <row r="1" spans="1:11">
      <c r="A1" s="1815" t="s">
        <v>1158</v>
      </c>
      <c r="B1" s="1815"/>
      <c r="C1" s="1815"/>
      <c r="D1" s="1815"/>
      <c r="E1" s="1815"/>
      <c r="F1" s="1815"/>
      <c r="G1" s="1815"/>
      <c r="H1" s="1815"/>
      <c r="I1" s="813"/>
      <c r="J1" s="1814"/>
      <c r="K1" s="1814"/>
    </row>
    <row r="2" spans="1:11" ht="16.5">
      <c r="A2" s="364"/>
      <c r="B2" s="364"/>
      <c r="C2" s="381"/>
      <c r="D2" s="381"/>
      <c r="E2" s="381"/>
      <c r="F2" s="381"/>
      <c r="G2" s="381"/>
      <c r="H2" s="381"/>
      <c r="I2" s="381"/>
      <c r="J2" s="383" t="s">
        <v>409</v>
      </c>
      <c r="K2" s="381"/>
    </row>
    <row r="3" spans="1:11">
      <c r="A3" s="139" t="s">
        <v>555</v>
      </c>
      <c r="B3" s="141"/>
      <c r="C3" s="295"/>
      <c r="D3" s="295"/>
      <c r="E3" s="295"/>
      <c r="F3" s="295"/>
      <c r="G3" s="295"/>
      <c r="H3" s="295"/>
      <c r="I3" s="295"/>
      <c r="J3" s="141"/>
      <c r="K3" s="141"/>
    </row>
    <row r="4" spans="1:11">
      <c r="A4" s="388" t="s">
        <v>78</v>
      </c>
      <c r="B4" s="140"/>
      <c r="C4" s="141"/>
      <c r="D4" s="141"/>
      <c r="E4" s="141"/>
      <c r="F4" s="141"/>
      <c r="G4" s="141"/>
      <c r="H4" s="141"/>
      <c r="I4" s="141"/>
      <c r="J4" s="127"/>
      <c r="K4" s="127"/>
    </row>
    <row r="5" spans="1:11">
      <c r="A5" s="144"/>
      <c r="B5" s="133"/>
      <c r="C5" s="126"/>
      <c r="D5" s="126"/>
      <c r="E5" s="139"/>
      <c r="F5" s="139"/>
      <c r="G5" s="139"/>
      <c r="H5" s="139"/>
      <c r="I5" s="139"/>
      <c r="J5" s="1816" t="s">
        <v>1167</v>
      </c>
      <c r="K5" s="1816"/>
    </row>
    <row r="6" spans="1:11">
      <c r="A6" s="1821"/>
      <c r="B6" s="1820" t="s">
        <v>48</v>
      </c>
      <c r="C6" s="1822" t="s">
        <v>1846</v>
      </c>
      <c r="D6" s="1823"/>
      <c r="E6" s="1824" t="s">
        <v>1847</v>
      </c>
      <c r="F6" s="1825"/>
      <c r="G6" s="1825"/>
      <c r="H6" s="1826"/>
      <c r="I6" s="1829" t="s">
        <v>1159</v>
      </c>
      <c r="J6" s="1830"/>
      <c r="K6" s="1831"/>
    </row>
    <row r="7" spans="1:11" ht="31.5">
      <c r="A7" s="1821"/>
      <c r="B7" s="1820"/>
      <c r="C7" s="361" t="s">
        <v>550</v>
      </c>
      <c r="D7" s="282" t="s">
        <v>230</v>
      </c>
      <c r="E7" s="361" t="s">
        <v>550</v>
      </c>
      <c r="F7" s="361" t="s">
        <v>1163</v>
      </c>
      <c r="G7" s="361" t="s">
        <v>1164</v>
      </c>
      <c r="H7" s="363" t="s">
        <v>1165</v>
      </c>
      <c r="I7" s="87" t="s">
        <v>1841</v>
      </c>
      <c r="J7" s="87" t="s">
        <v>1842</v>
      </c>
      <c r="K7" s="87" t="s">
        <v>1843</v>
      </c>
    </row>
    <row r="8" spans="1:11">
      <c r="A8" s="142" t="s">
        <v>137</v>
      </c>
      <c r="B8" s="134" t="s">
        <v>138</v>
      </c>
      <c r="C8" s="130"/>
      <c r="D8" s="130"/>
      <c r="E8" s="130"/>
      <c r="F8" s="130"/>
      <c r="G8" s="130"/>
      <c r="H8" s="130"/>
      <c r="I8" s="130"/>
      <c r="J8" s="130"/>
      <c r="K8" s="130"/>
    </row>
    <row r="9" spans="1:11">
      <c r="A9" s="59">
        <v>1</v>
      </c>
      <c r="B9" s="135" t="s">
        <v>528</v>
      </c>
      <c r="C9" s="130"/>
      <c r="D9" s="1287">
        <f>'F3'!F39</f>
        <v>2728.7200000000003</v>
      </c>
      <c r="E9" s="781"/>
      <c r="F9" s="781"/>
      <c r="G9" s="781"/>
      <c r="H9" s="1287">
        <f>'F3'!J39</f>
        <v>3048.42</v>
      </c>
      <c r="I9" s="1287">
        <f>'F3'!K39</f>
        <v>3244.84</v>
      </c>
      <c r="J9" s="1287">
        <f>'F3'!L39</f>
        <v>3459.6600000000003</v>
      </c>
      <c r="K9" s="1287">
        <f>'F3'!M39</f>
        <v>3681.38</v>
      </c>
    </row>
    <row r="10" spans="1:11">
      <c r="A10" s="59">
        <v>2</v>
      </c>
      <c r="B10" s="135" t="s">
        <v>529</v>
      </c>
      <c r="C10" s="130"/>
      <c r="D10" s="1287">
        <f>'F3'!F40</f>
        <v>3203.28</v>
      </c>
      <c r="E10" s="781"/>
      <c r="F10" s="781"/>
      <c r="G10" s="781"/>
      <c r="H10" s="1287">
        <f>'F3'!J40</f>
        <v>3578.5800000000004</v>
      </c>
      <c r="I10" s="1287">
        <f>'F3'!K40</f>
        <v>3809.1600000000003</v>
      </c>
      <c r="J10" s="1287">
        <f>'F3'!L40</f>
        <v>4061.34</v>
      </c>
      <c r="K10" s="1287">
        <f>'F3'!M40</f>
        <v>4321.62</v>
      </c>
    </row>
    <row r="11" spans="1:11">
      <c r="A11" s="59">
        <v>3</v>
      </c>
      <c r="B11" s="136"/>
      <c r="C11" s="122"/>
      <c r="D11" s="130"/>
      <c r="E11" s="130"/>
      <c r="F11" s="130"/>
      <c r="G11" s="130"/>
      <c r="H11" s="130"/>
      <c r="I11" s="130"/>
      <c r="J11" s="130"/>
      <c r="K11" s="130"/>
    </row>
    <row r="12" spans="1:11">
      <c r="A12" s="59"/>
      <c r="B12" s="136" t="s">
        <v>140</v>
      </c>
      <c r="C12" s="130"/>
      <c r="D12" s="130"/>
      <c r="E12" s="130"/>
      <c r="F12" s="130"/>
      <c r="G12" s="130"/>
      <c r="H12" s="130"/>
      <c r="I12" s="130"/>
      <c r="J12" s="130"/>
      <c r="K12" s="130"/>
    </row>
    <row r="13" spans="1:11">
      <c r="A13" s="59"/>
      <c r="B13" s="136" t="s">
        <v>141</v>
      </c>
      <c r="C13" s="130"/>
      <c r="D13" s="130"/>
      <c r="E13" s="130"/>
      <c r="F13" s="130"/>
      <c r="G13" s="130"/>
      <c r="H13" s="130"/>
      <c r="I13" s="130"/>
      <c r="J13" s="130"/>
      <c r="K13" s="130"/>
    </row>
    <row r="14" spans="1:11" ht="31.5">
      <c r="A14" s="143" t="s">
        <v>142</v>
      </c>
      <c r="B14" s="134" t="s">
        <v>143</v>
      </c>
      <c r="C14" s="130"/>
      <c r="D14" s="130"/>
      <c r="E14" s="130"/>
      <c r="F14" s="130"/>
      <c r="G14" s="130"/>
      <c r="H14" s="130"/>
      <c r="I14" s="130"/>
      <c r="J14" s="130"/>
      <c r="K14" s="130"/>
    </row>
    <row r="15" spans="1:11">
      <c r="A15" s="59">
        <v>1</v>
      </c>
      <c r="B15" s="136" t="s">
        <v>1104</v>
      </c>
      <c r="C15" s="130"/>
      <c r="D15" s="430">
        <f>'F3'!F45</f>
        <v>100</v>
      </c>
      <c r="E15" s="130"/>
      <c r="F15" s="130"/>
      <c r="G15" s="130"/>
      <c r="H15" s="430">
        <f>'F3'!J45</f>
        <v>100</v>
      </c>
      <c r="I15" s="430">
        <f>'F3'!K45</f>
        <v>100</v>
      </c>
      <c r="J15" s="430">
        <f>'F3'!L45</f>
        <v>100</v>
      </c>
      <c r="K15" s="430">
        <f>'F3'!M45</f>
        <v>100</v>
      </c>
    </row>
    <row r="16" spans="1:11">
      <c r="A16" s="59">
        <v>2</v>
      </c>
      <c r="B16" s="135"/>
      <c r="C16" s="130"/>
      <c r="D16" s="130"/>
      <c r="E16" s="130"/>
      <c r="F16" s="130"/>
      <c r="G16" s="130"/>
      <c r="H16" s="130"/>
      <c r="I16" s="130"/>
      <c r="J16" s="130"/>
      <c r="K16" s="130"/>
    </row>
    <row r="17" spans="1:11" ht="54" customHeight="1" thickBot="1">
      <c r="A17" s="145"/>
      <c r="B17" s="137" t="s">
        <v>516</v>
      </c>
      <c r="C17" s="131"/>
      <c r="D17" s="1289">
        <f>SUM(D9:D15)</f>
        <v>6032</v>
      </c>
      <c r="E17" s="1290"/>
      <c r="F17" s="1290"/>
      <c r="G17" s="1290"/>
      <c r="H17" s="1289">
        <f>SUM(H9:H15)</f>
        <v>6727</v>
      </c>
      <c r="I17" s="1289">
        <f t="shared" ref="I17:K17" si="0">SUM(I9:I15)</f>
        <v>7154</v>
      </c>
      <c r="J17" s="1289">
        <f t="shared" si="0"/>
        <v>7621</v>
      </c>
      <c r="K17" s="1289">
        <f t="shared" si="0"/>
        <v>8103</v>
      </c>
    </row>
    <row r="18" spans="1:11" ht="16.5" thickTop="1">
      <c r="A18" s="146"/>
      <c r="B18" s="138"/>
      <c r="C18" s="121"/>
      <c r="D18" s="121"/>
      <c r="E18" s="121"/>
      <c r="F18" s="121"/>
      <c r="G18" s="121"/>
      <c r="H18" s="121"/>
      <c r="I18" s="121"/>
      <c r="J18" s="121"/>
      <c r="K18" s="121"/>
    </row>
    <row r="19" spans="1:11">
      <c r="A19" s="1819" t="s">
        <v>554</v>
      </c>
      <c r="B19" s="1819"/>
      <c r="C19" s="1819"/>
      <c r="D19" s="1819"/>
      <c r="E19" s="1819"/>
      <c r="F19" s="1819"/>
      <c r="G19" s="1819"/>
      <c r="H19" s="1819"/>
      <c r="I19" s="814"/>
    </row>
    <row r="20" spans="1:11">
      <c r="A20" s="365"/>
      <c r="B20" s="365"/>
      <c r="C20" s="365"/>
      <c r="D20" s="365"/>
      <c r="E20" s="365"/>
      <c r="F20" s="365"/>
      <c r="G20" s="365"/>
      <c r="H20" s="365"/>
      <c r="I20" s="365"/>
      <c r="J20" s="1816" t="s">
        <v>320</v>
      </c>
      <c r="K20" s="1816"/>
    </row>
    <row r="21" spans="1:11">
      <c r="A21" s="385" t="s">
        <v>137</v>
      </c>
      <c r="B21" s="386" t="s">
        <v>138</v>
      </c>
      <c r="C21" s="387"/>
      <c r="D21" s="387"/>
      <c r="E21" s="387"/>
      <c r="F21" s="387"/>
      <c r="G21" s="387"/>
      <c r="H21" s="387"/>
      <c r="I21" s="387"/>
      <c r="J21" s="122"/>
      <c r="K21" s="122"/>
    </row>
    <row r="22" spans="1:11">
      <c r="A22" s="60">
        <v>1</v>
      </c>
      <c r="B22" s="135" t="s">
        <v>528</v>
      </c>
      <c r="C22" s="1827">
        <f>'F1'!D15</f>
        <v>1292.18</v>
      </c>
      <c r="D22" s="1827">
        <f>'F1'!E15</f>
        <v>870.89999980000005</v>
      </c>
      <c r="E22" s="1827">
        <f>'F1'!F15</f>
        <v>1130.68</v>
      </c>
      <c r="F22" s="276"/>
      <c r="G22" s="276"/>
      <c r="H22" s="1827">
        <f>'F1'!I15</f>
        <v>1130.6800000000003</v>
      </c>
      <c r="I22" s="1827">
        <f ca="1">'F1'!J15</f>
        <v>1487.6939783528856</v>
      </c>
      <c r="J22" s="1827">
        <f ca="1">'F1'!K15</f>
        <v>1714.6685083300551</v>
      </c>
      <c r="K22" s="1827">
        <f ca="1">'F1'!L15</f>
        <v>1973.8358435319547</v>
      </c>
    </row>
    <row r="23" spans="1:11" ht="31.5" customHeight="1">
      <c r="A23" s="60">
        <v>2</v>
      </c>
      <c r="B23" s="135" t="s">
        <v>529</v>
      </c>
      <c r="C23" s="1828"/>
      <c r="D23" s="1828"/>
      <c r="E23" s="1828"/>
      <c r="F23" s="645"/>
      <c r="G23" s="645"/>
      <c r="H23" s="1828"/>
      <c r="I23" s="1828"/>
      <c r="J23" s="1828"/>
      <c r="K23" s="1828"/>
    </row>
    <row r="24" spans="1:11">
      <c r="A24" s="60">
        <v>3</v>
      </c>
      <c r="B24" s="136" t="s">
        <v>139</v>
      </c>
      <c r="C24" s="554"/>
      <c r="D24" s="130"/>
      <c r="E24" s="554"/>
      <c r="F24" s="130"/>
      <c r="G24" s="130"/>
      <c r="H24" s="554"/>
      <c r="I24" s="554"/>
      <c r="J24" s="554"/>
      <c r="K24" s="554"/>
    </row>
    <row r="25" spans="1:11">
      <c r="A25" s="60"/>
      <c r="B25" s="136" t="s">
        <v>958</v>
      </c>
      <c r="C25" s="554"/>
      <c r="D25" s="151"/>
      <c r="E25" s="554"/>
      <c r="F25" s="151"/>
      <c r="G25" s="151"/>
      <c r="H25" s="554"/>
      <c r="I25" s="554"/>
      <c r="J25" s="554"/>
      <c r="K25" s="554"/>
    </row>
    <row r="26" spans="1:11">
      <c r="A26" s="60"/>
      <c r="B26" s="136" t="s">
        <v>141</v>
      </c>
      <c r="C26" s="554"/>
      <c r="D26" s="132"/>
      <c r="E26" s="554"/>
      <c r="F26" s="132"/>
      <c r="G26" s="132"/>
      <c r="H26" s="554"/>
      <c r="I26" s="554"/>
      <c r="J26" s="554"/>
      <c r="K26" s="554"/>
    </row>
    <row r="27" spans="1:11" ht="31.5">
      <c r="A27" s="142" t="s">
        <v>142</v>
      </c>
      <c r="B27" s="134" t="s">
        <v>144</v>
      </c>
      <c r="C27" s="554"/>
      <c r="D27" s="132"/>
      <c r="E27" s="554"/>
      <c r="F27" s="132"/>
      <c r="G27" s="132"/>
      <c r="H27" s="554"/>
      <c r="I27" s="554"/>
      <c r="J27" s="554"/>
      <c r="K27" s="554"/>
    </row>
    <row r="28" spans="1:11">
      <c r="A28" s="60">
        <v>1</v>
      </c>
      <c r="B28" s="136" t="s">
        <v>1104</v>
      </c>
      <c r="C28" s="554"/>
      <c r="D28" s="132"/>
      <c r="E28" s="554"/>
      <c r="F28" s="132"/>
      <c r="G28" s="132"/>
      <c r="H28" s="554"/>
      <c r="I28" s="554"/>
      <c r="J28" s="554"/>
      <c r="K28" s="554"/>
    </row>
    <row r="29" spans="1:11">
      <c r="A29" s="60">
        <v>2</v>
      </c>
      <c r="B29" s="136"/>
      <c r="C29" s="132"/>
      <c r="D29" s="132"/>
      <c r="E29" s="132"/>
      <c r="F29" s="132"/>
      <c r="G29" s="132"/>
      <c r="H29" s="132"/>
      <c r="I29" s="132"/>
      <c r="J29" s="120"/>
      <c r="K29" s="120"/>
    </row>
    <row r="30" spans="1:11" ht="16.5" thickBot="1">
      <c r="A30" s="1817" t="s">
        <v>68</v>
      </c>
      <c r="B30" s="1818"/>
      <c r="C30" s="710">
        <f>'F1'!D17</f>
        <v>1292.18</v>
      </c>
      <c r="D30" s="710">
        <f>'F1'!E17</f>
        <v>870.89999980000005</v>
      </c>
      <c r="E30" s="710">
        <f>'F1'!F17</f>
        <v>1130.68</v>
      </c>
      <c r="F30" s="710">
        <f>'F1'!G17</f>
        <v>0</v>
      </c>
      <c r="G30" s="710">
        <f>'F1'!H17</f>
        <v>0</v>
      </c>
      <c r="H30" s="710">
        <f>'F1'!I17</f>
        <v>1130.6800000000003</v>
      </c>
      <c r="I30" s="710">
        <f ca="1">'F1'!J17</f>
        <v>1487.6939783528856</v>
      </c>
      <c r="J30" s="710">
        <f ca="1">'F1'!K17</f>
        <v>1714.6685083300551</v>
      </c>
      <c r="K30" s="710">
        <f ca="1">'F1'!L17</f>
        <v>1973.8358435319547</v>
      </c>
    </row>
    <row r="31" spans="1:11" ht="16.5" thickTop="1"/>
    <row r="32" spans="1:11">
      <c r="B32" s="359"/>
    </row>
    <row r="34" spans="8:11" ht="16.5">
      <c r="H34" s="1763" t="s">
        <v>401</v>
      </c>
      <c r="I34" s="1763"/>
      <c r="J34" s="1763"/>
      <c r="K34" s="1763"/>
    </row>
  </sheetData>
  <mergeCells count="19">
    <mergeCell ref="H22:H23"/>
    <mergeCell ref="I6:K6"/>
    <mergeCell ref="H34:K34"/>
    <mergeCell ref="J1:K1"/>
    <mergeCell ref="A1:H1"/>
    <mergeCell ref="J5:K5"/>
    <mergeCell ref="A30:B30"/>
    <mergeCell ref="A19:H19"/>
    <mergeCell ref="J20:K20"/>
    <mergeCell ref="B6:B7"/>
    <mergeCell ref="A6:A7"/>
    <mergeCell ref="C6:D6"/>
    <mergeCell ref="E6:H6"/>
    <mergeCell ref="J22:J23"/>
    <mergeCell ref="K22:K23"/>
    <mergeCell ref="I22:I23"/>
    <mergeCell ref="C22:C23"/>
    <mergeCell ref="D22:D23"/>
    <mergeCell ref="E22:E23"/>
  </mergeCells>
  <pageMargins left="0.27" right="0.38" top="0.74803149606299213" bottom="0.74803149606299213" header="0.31496062992125984" footer="0.31496062992125984"/>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72</vt:i4>
      </vt:variant>
      <vt:variant>
        <vt:lpstr>Named Ranges</vt:lpstr>
      </vt:variant>
      <vt:variant>
        <vt:i4>47</vt:i4>
      </vt:variant>
    </vt:vector>
  </HeadingPairs>
  <TitlesOfParts>
    <vt:vector size="119" baseType="lpstr">
      <vt:lpstr>Indexw</vt:lpstr>
      <vt:lpstr>Sheet</vt:lpstr>
      <vt:lpstr>Index</vt:lpstr>
      <vt:lpstr>S1</vt:lpstr>
      <vt:lpstr>S2</vt:lpstr>
      <vt:lpstr>S3</vt:lpstr>
      <vt:lpstr>F1</vt:lpstr>
      <vt:lpstr>Carrying Cost</vt:lpstr>
      <vt:lpstr>F2</vt:lpstr>
      <vt:lpstr>F3</vt:lpstr>
      <vt:lpstr>F4</vt:lpstr>
      <vt:lpstr>F5-1</vt:lpstr>
      <vt:lpstr>F5-2</vt:lpstr>
      <vt:lpstr>F5-3</vt:lpstr>
      <vt:lpstr>F5-4</vt:lpstr>
      <vt:lpstr>F5-6</vt:lpstr>
      <vt:lpstr>F5-7</vt:lpstr>
      <vt:lpstr>F5-8</vt:lpstr>
      <vt:lpstr>F5-9</vt:lpstr>
      <vt:lpstr>F6</vt:lpstr>
      <vt:lpstr>F7-1</vt:lpstr>
      <vt:lpstr>F7-2</vt:lpstr>
      <vt:lpstr>F7-3</vt:lpstr>
      <vt:lpstr>F7-4</vt:lpstr>
      <vt:lpstr>F8</vt:lpstr>
      <vt:lpstr>Interest</vt:lpstr>
      <vt:lpstr>Int Rate</vt:lpstr>
      <vt:lpstr>F9-1</vt:lpstr>
      <vt:lpstr>F9-2</vt:lpstr>
      <vt:lpstr>F9-3</vt:lpstr>
      <vt:lpstr>F10</vt:lpstr>
      <vt:lpstr>F11</vt:lpstr>
      <vt:lpstr>F12</vt:lpstr>
      <vt:lpstr>F13</vt:lpstr>
      <vt:lpstr>Sharing of Gains-Losses</vt:lpstr>
      <vt:lpstr>O&amp;M norms</vt:lpstr>
      <vt:lpstr>F14-1</vt:lpstr>
      <vt:lpstr>F14-2</vt:lpstr>
      <vt:lpstr>F14-3</vt:lpstr>
      <vt:lpstr>F14-4</vt:lpstr>
      <vt:lpstr>F15</vt:lpstr>
      <vt:lpstr>F16</vt:lpstr>
      <vt:lpstr>F17</vt:lpstr>
      <vt:lpstr>F18</vt:lpstr>
      <vt:lpstr>F19</vt:lpstr>
      <vt:lpstr>F20</vt:lpstr>
      <vt:lpstr>F21</vt:lpstr>
      <vt:lpstr>F22</vt:lpstr>
      <vt:lpstr>F23</vt:lpstr>
      <vt:lpstr>F24</vt:lpstr>
      <vt:lpstr>Incentive</vt:lpstr>
      <vt:lpstr>CPI &amp; WPI</vt:lpstr>
      <vt:lpstr>Allocation Statement</vt:lpstr>
      <vt:lpstr>P1</vt:lpstr>
      <vt:lpstr>P2A </vt:lpstr>
      <vt:lpstr>P2B</vt:lpstr>
      <vt:lpstr>P2C</vt:lpstr>
      <vt:lpstr>P2D</vt:lpstr>
      <vt:lpstr>P2E</vt:lpstr>
      <vt:lpstr>P2F </vt:lpstr>
      <vt:lpstr>P3</vt:lpstr>
      <vt:lpstr>P4</vt:lpstr>
      <vt:lpstr>P5</vt:lpstr>
      <vt:lpstr>P6</vt:lpstr>
      <vt:lpstr>P7</vt:lpstr>
      <vt:lpstr>P8</vt:lpstr>
      <vt:lpstr>P9</vt:lpstr>
      <vt:lpstr>P10</vt:lpstr>
      <vt:lpstr>P11</vt:lpstr>
      <vt:lpstr>P12</vt:lpstr>
      <vt:lpstr>Sheet2</vt:lpstr>
      <vt:lpstr>Sheet3</vt:lpstr>
      <vt:lpstr>'Carrying Cost'!Print_Area</vt:lpstr>
      <vt:lpstr>'F1'!Print_Area</vt:lpstr>
      <vt:lpstr>'F11'!Print_Area</vt:lpstr>
      <vt:lpstr>'F12'!Print_Area</vt:lpstr>
      <vt:lpstr>'F13'!Print_Area</vt:lpstr>
      <vt:lpstr>'F14-1'!Print_Area</vt:lpstr>
      <vt:lpstr>'F14-2'!Print_Area</vt:lpstr>
      <vt:lpstr>'F14-3'!Print_Area</vt:lpstr>
      <vt:lpstr>'F14-4'!Print_Area</vt:lpstr>
      <vt:lpstr>'F15'!Print_Area</vt:lpstr>
      <vt:lpstr>'F16'!Print_Area</vt:lpstr>
      <vt:lpstr>'F18'!Print_Area</vt:lpstr>
      <vt:lpstr>'F19'!Print_Area</vt:lpstr>
      <vt:lpstr>'F20'!Print_Area</vt:lpstr>
      <vt:lpstr>'F21'!Print_Area</vt:lpstr>
      <vt:lpstr>'F22'!Print_Area</vt:lpstr>
      <vt:lpstr>'F23'!Print_Area</vt:lpstr>
      <vt:lpstr>'F24'!Print_Area</vt:lpstr>
      <vt:lpstr>'F4'!Print_Area</vt:lpstr>
      <vt:lpstr>'F5-1'!Print_Area</vt:lpstr>
      <vt:lpstr>'F5-2'!Print_Area</vt:lpstr>
      <vt:lpstr>'F5-3'!Print_Area</vt:lpstr>
      <vt:lpstr>'F5-4'!Print_Area</vt:lpstr>
      <vt:lpstr>'F5-6'!Print_Area</vt:lpstr>
      <vt:lpstr>'F5-8'!Print_Area</vt:lpstr>
      <vt:lpstr>'F5-9'!Print_Area</vt:lpstr>
      <vt:lpstr>'F6'!Print_Area</vt:lpstr>
      <vt:lpstr>'F7-2'!Print_Area</vt:lpstr>
      <vt:lpstr>'F7-3'!Print_Area</vt:lpstr>
      <vt:lpstr>'F8'!Print_Area</vt:lpstr>
      <vt:lpstr>'F9-1'!Print_Area</vt:lpstr>
      <vt:lpstr>'F9-2'!Print_Area</vt:lpstr>
      <vt:lpstr>'F9-3'!Print_Area</vt:lpstr>
      <vt:lpstr>Incentive!Print_Area</vt:lpstr>
      <vt:lpstr>Interest!Print_Area</vt:lpstr>
      <vt:lpstr>'O&amp;M norms'!Print_Area</vt:lpstr>
      <vt:lpstr>'P1'!Print_Area</vt:lpstr>
      <vt:lpstr>'P10'!Print_Area</vt:lpstr>
      <vt:lpstr>'P12'!Print_Area</vt:lpstr>
      <vt:lpstr>'P3'!Print_Area</vt:lpstr>
      <vt:lpstr>'P4'!Print_Area</vt:lpstr>
      <vt:lpstr>'P6'!Print_Area</vt:lpstr>
      <vt:lpstr>'P7'!Print_Area</vt:lpstr>
      <vt:lpstr>'P9'!Print_Area</vt:lpstr>
      <vt:lpstr>'Sharing of Gains-Losses'!Print_Area</vt:lpstr>
      <vt:lpstr>Sheet!Print_Area</vt:lpstr>
      <vt:lpstr>'P2A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BHEL</dc:creator>
  <cp:lastModifiedBy>mrutyunjay.palai</cp:lastModifiedBy>
  <cp:lastPrinted>2021-12-13T13:13:17Z</cp:lastPrinted>
  <dcterms:created xsi:type="dcterms:W3CDTF">2013-08-17T04:54:53Z</dcterms:created>
  <dcterms:modified xsi:type="dcterms:W3CDTF">2022-01-06T12:28:28Z</dcterms:modified>
</cp:coreProperties>
</file>